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данные'!$10:$10</definedName>
    <definedName name="_xlnm.Print_Area" localSheetId="0">'Мои данные'!$A$1:$L$55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</authors>
  <commentList>
    <comment ref="A10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0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0" authorId="1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47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47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0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0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0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0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0" authorId="2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0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0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K10" authorId="1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<sst xmlns="http://schemas.openxmlformats.org/spreadsheetml/2006/main" count="101" uniqueCount="73">
  <si>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</si>
  <si>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</si>
  <si>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</si>
  <si>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</si>
  <si>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Плановая и высотная привязка при расстоянии между точками (геологическими выработками) до 50 м: 2 категория сложности</t>
  </si>
  <si>
    <t>1,196*1,06*1,1875</t>
  </si>
  <si>
    <t>цены 2001</t>
  </si>
  <si>
    <t>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</si>
  <si>
    <t>Инженерно-геодезические изыскания при развитир (создании) плановой опорной геодезической сети 2 разряда точности: 1 категория сложности - полевые работы</t>
  </si>
  <si>
    <t>1,3*1,196*1,06*1,1875</t>
  </si>
  <si>
    <t>(прим.2С применением спутниковых геодезических систем ПЗ=1,3;
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</si>
  <si>
    <t>Инженерно-геодезические изыскания при развитии (создании) высотной опорной геодезической сети 4 класса точности: 1 категория сложности - полевые работы</t>
  </si>
  <si>
    <t>0,4*1,196*1,06*1,1875</t>
  </si>
  <si>
    <t>(прим.1Без закладки центров ПЗ=0,4;
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</si>
  <si>
    <t>Создание инженерно-топографического плана на застроенной территории, масштаб съемки 1:500, высота сечения рельефа 0,25 м: 2 категории сложности - полевые работы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</si>
  <si>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2 категория сложности - полевые работы</t>
  </si>
  <si>
    <t>Инженерно-геодезические изыскания трасс подземных кабельных линий электропередачи 0,4-20кВ и связи: 2 категория сложности - полевые работы</t>
  </si>
  <si>
    <t>Итоги по разделу 1 инженерно-геодезические полевые  работы :</t>
  </si>
  <si>
    <t xml:space="preserve">  Инженерно-геодезические изыскания (2004)</t>
  </si>
  <si>
    <t xml:space="preserve">  Итого</t>
  </si>
  <si>
    <t xml:space="preserve">  Итого по разделу 1 инженерно-геодезические полевые  работы</t>
  </si>
  <si>
    <t>Инженерно-геодезические изыскания при развитир (создании) плановой опорной геодезической сети 2 разряда точности: 1 категория сложности - камеральные работы</t>
  </si>
  <si>
    <t>(прим.2С применением спутниковых геодезических систем ПЗ=1,3)</t>
  </si>
  <si>
    <t>Инженерно-геодезические изыскания при развитии (создании) высотной опорной геодезической сети 4 класса точности: 1 категория сложности - камеральные работы</t>
  </si>
  <si>
    <t>Создание инженерно-топографического плана на застроенной территории, масштаб съемки 1:500, высота сечения рельефа 0,25 м: 2 категории сложности - камеральные работы</t>
  </si>
  <si>
    <t>(прим.5При составлении обмерных чертежей зданий и сооружений ПЗ=1,1)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</si>
  <si>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2 категория сложности - камеральные работы</t>
  </si>
  <si>
    <t>Инженерно-геодезические изыскания трасс подземных кабельных линий электропередачи 0,4-20кВ и связи: 2 категория сложности - камеральные работы</t>
  </si>
  <si>
    <t>Выдача во временное пользование материалов топографических съемок</t>
  </si>
  <si>
    <t>Выдача координат пунктов геодезической сети, сети сгущения (съемочной сети)</t>
  </si>
  <si>
    <t>Итоги по разделу 2 инженерно-геодезические камеральные работы :</t>
  </si>
  <si>
    <t xml:space="preserve">  Итого по разделу 2 инженерно-геодезические камеральные работы</t>
  </si>
  <si>
    <t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до 100 тыс.руб. - цена = 10,0%</t>
  </si>
  <si>
    <t>Составление программы (предписания) и технического отчета (пояснительной записки) по геодезическим работам. Стоимость полевых и камеральных работ, определенная по ценам глав 4 - 8: до 100 тыс.руб. - цена = 4,3%</t>
  </si>
  <si>
    <t>Итоги по разделу 3 Новый Раздел :</t>
  </si>
  <si>
    <t xml:space="preserve">  Всего с учетом " "</t>
  </si>
  <si>
    <t xml:space="preserve">  Итого по разделу 3 Новый Раздел</t>
  </si>
  <si>
    <t>Итоги по смете:</t>
  </si>
  <si>
    <t xml:space="preserve">  НДС 18%</t>
  </si>
  <si>
    <t xml:space="preserve">  ВСЕГО по смете</t>
  </si>
  <si>
    <t>Строительство станции очистки питьевой воды в с.Хвастовичи Калужской области</t>
  </si>
  <si>
    <t>инженерно-геодезические изыскания</t>
  </si>
  <si>
    <t xml:space="preserve">                            инженерно-геодезические полевые  работы</t>
  </si>
  <si>
    <t xml:space="preserve">  Всего с учетом перевод в текущие цены на 1 квартал 2015 г. 3,79</t>
  </si>
  <si>
    <t xml:space="preserve">                            инженерно-геодезические камеральные работы</t>
  </si>
  <si>
    <t xml:space="preserve">                            Новый Раздел</t>
  </si>
  <si>
    <r>
      <t xml:space="preserve">УБЦ2-48-1-2
</t>
    </r>
    <r>
      <rPr>
        <i/>
        <sz val="11"/>
        <rFont val="Arial"/>
        <family val="2"/>
      </rPr>
      <t>"Инж.-геодез. изыск.(2004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</si>
  <si>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УБЦ2-8-3-1-1
</t>
    </r>
    <r>
      <rPr>
        <i/>
        <sz val="11"/>
        <rFont val="Arial"/>
        <family val="2"/>
      </rPr>
      <t>"Инж.-геодез. изыск.(2004 г.)"
(прим.2С применением спутниковых геодезических систем ПЗ=1,3;
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</si>
  <si>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УБЦ2-8-4-1-1
</t>
    </r>
    <r>
      <rPr>
        <i/>
        <sz val="11"/>
        <rFont val="Arial"/>
        <family val="2"/>
      </rPr>
      <t>"Инж.-геодез. изыск.(2004 г.)"
(прим.1Без закладки центров ПЗ=0,4;
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</si>
  <si>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УБЦ2-9-2-2-1
</t>
    </r>
    <r>
      <rPr>
        <i/>
        <sz val="11"/>
        <rFont val="Arial"/>
        <family val="2"/>
      </rPr>
      <t>"Инж.-геодез. изыск.(2004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</si>
  <si>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УБЦ2-14-1-2-1
</t>
    </r>
    <r>
      <rPr>
        <i/>
        <sz val="11"/>
        <rFont val="Arial"/>
        <family val="2"/>
      </rPr>
      <t>"Инж.-геодез. изыск.(2004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</si>
  <si>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УБЦ2-15-6-2-1
</t>
    </r>
    <r>
      <rPr>
        <i/>
        <sz val="11"/>
        <rFont val="Arial"/>
        <family val="2"/>
      </rPr>
      <t>"Инж.-геодез. изыск.(2004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</si>
  <si>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УБЦ2-8-3-1-2
</t>
    </r>
    <r>
      <rPr>
        <i/>
        <sz val="11"/>
        <rFont val="Arial"/>
        <family val="2"/>
      </rPr>
      <t>"Инж.-геодез. изыск.(2004 г.)"
(прим.2С применением спутниковых геодезических систем ПЗ=1,3)</t>
    </r>
  </si>
  <si>
    <r>
      <t xml:space="preserve">УБЦ2-8-4-1-2
</t>
    </r>
    <r>
      <rPr>
        <i/>
        <sz val="11"/>
        <rFont val="Arial"/>
        <family val="2"/>
      </rPr>
      <t>"Инж.-геодез. изыск.(2004 г.)"</t>
    </r>
  </si>
  <si>
    <r>
      <t xml:space="preserve">УБЦ2-9-2-2-2
</t>
    </r>
    <r>
      <rPr>
        <i/>
        <sz val="11"/>
        <rFont val="Arial"/>
        <family val="2"/>
      </rPr>
      <t>"Инж.-геодез. изыск.(2004 г.)"
(прим.5При составлении обмерных чертежей зданий и сооружений ПЗ=1,1)</t>
    </r>
  </si>
  <si>
    <r>
      <t xml:space="preserve">УБЦ2-14-1-2-2
</t>
    </r>
    <r>
      <rPr>
        <i/>
        <sz val="11"/>
        <rFont val="Arial"/>
        <family val="2"/>
      </rPr>
      <t>"Инж.-геодез. изыск.(2004 г.)"</t>
    </r>
  </si>
  <si>
    <r>
      <t xml:space="preserve">УБЦ2-15-6-2-2
</t>
    </r>
    <r>
      <rPr>
        <i/>
        <sz val="11"/>
        <rFont val="Arial"/>
        <family val="2"/>
      </rPr>
      <t>"Инж.-геодез. изыск.(2004 г.)"</t>
    </r>
  </si>
  <si>
    <r>
      <t xml:space="preserve">УБЦ2-81-1
</t>
    </r>
    <r>
      <rPr>
        <i/>
        <sz val="11"/>
        <rFont val="Arial"/>
        <family val="2"/>
      </rPr>
      <t>"Инж.-геодез. изыск.(2004 г.)"</t>
    </r>
  </si>
  <si>
    <r>
      <t xml:space="preserve">УБЦ2-81-2
</t>
    </r>
    <r>
      <rPr>
        <i/>
        <sz val="11"/>
        <rFont val="Arial"/>
        <family val="2"/>
      </rPr>
      <t>"Инж.-геодез. изыск.(2004 г.)"</t>
    </r>
  </si>
  <si>
    <r>
      <t xml:space="preserve">УБЦ2-79-1
</t>
    </r>
    <r>
      <rPr>
        <i/>
        <sz val="11"/>
        <rFont val="Arial"/>
        <family val="2"/>
      </rPr>
      <t>"Инж.-геодез. изыск.(2004 г.)"</t>
    </r>
  </si>
  <si>
    <r>
      <t xml:space="preserve">УБЦ2-78-1
</t>
    </r>
    <r>
      <rPr>
        <i/>
        <sz val="11"/>
        <rFont val="Arial"/>
        <family val="2"/>
      </rPr>
      <t>"Инж.-геодез. изыск.(2004 г.)"</t>
    </r>
  </si>
  <si>
    <t xml:space="preserve">  Итого перевод в текущие цены на 1 квартал 2015 г. 3,79</t>
  </si>
  <si>
    <t xml:space="preserve">  Итого " "</t>
  </si>
  <si>
    <t>Итого затраты по разделу</t>
  </si>
  <si>
    <t>Итого затраты по смете</t>
  </si>
  <si>
    <t>СМЕТА № 2</t>
  </si>
  <si>
    <t>Составил:______________Пастухова А.М.</t>
  </si>
  <si>
    <t>Стоимость работ тыс. руб</t>
  </si>
  <si>
    <t>на проектно-изыскательские  работы</t>
  </si>
  <si>
    <t>УТВЕРЖДАЮ:</t>
  </si>
  <si>
    <t>Рукододитель управления кап. ремонта и строительства</t>
  </si>
  <si>
    <t>ГП "Калугаоблводоканал"</t>
  </si>
  <si>
    <t>________________Сергеев М.А.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</si>
</sst>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7" fillId="32" borderId="0" applyNumberFormat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center"/>
    </xf>
    <xf numFmtId="0" fontId="9" fillId="0" borderId="0" xfId="78" applyFont="1">
      <alignment horizontal="center"/>
      <protection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14" fillId="0" borderId="0" xfId="78" applyFont="1" applyBorder="1" applyAlignment="1">
      <alignment horizontal="right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A1">
      <selection activeCell="N6" sqref="N6"/>
    </sheetView>
  </sheetViews>
  <sheetFormatPr defaultColWidth="9.00390625" defaultRowHeight="12.75"/>
  <cols>
    <col min="1" max="1" width="6.625" style="1" customWidth="1"/>
    <col min="2" max="2" width="45.7539062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0.75" customHeight="1">
      <c r="A4" s="32" t="s">
        <v>72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>
      <c r="A5" s="21" t="s">
        <v>65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 t="s">
        <v>40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"/>
      <c r="B8" s="20" t="s">
        <v>41</v>
      </c>
      <c r="C8" s="20"/>
      <c r="D8" s="20"/>
      <c r="E8" s="2"/>
      <c r="F8" s="2"/>
      <c r="G8" s="2"/>
      <c r="H8" s="2"/>
      <c r="I8" s="2"/>
      <c r="J8" s="2"/>
      <c r="K8" s="2"/>
      <c r="L8" s="2"/>
    </row>
    <row r="9" spans="1:12" s="4" customFormat="1" ht="121.5" customHeight="1">
      <c r="A9" s="3" t="s">
        <v>0</v>
      </c>
      <c r="B9" s="3" t="s">
        <v>1</v>
      </c>
      <c r="C9" s="3" t="s">
        <v>2</v>
      </c>
      <c r="D9" s="3" t="s">
        <v>3</v>
      </c>
      <c r="E9" s="3"/>
      <c r="F9" s="3"/>
      <c r="G9" s="3"/>
      <c r="H9" s="3"/>
      <c r="I9" s="3"/>
      <c r="J9" s="3"/>
      <c r="K9" s="3"/>
      <c r="L9" s="3" t="s">
        <v>67</v>
      </c>
    </row>
    <row r="10" spans="1:12" ht="15">
      <c r="A10" s="8">
        <v>1</v>
      </c>
      <c r="B10" s="8">
        <v>2</v>
      </c>
      <c r="C10" s="8">
        <v>3</v>
      </c>
      <c r="D10" s="8">
        <v>4</v>
      </c>
      <c r="E10" s="8"/>
      <c r="F10" s="8"/>
      <c r="G10" s="8"/>
      <c r="H10" s="8"/>
      <c r="I10" s="8"/>
      <c r="J10" s="8"/>
      <c r="K10" s="8"/>
      <c r="L10" s="8">
        <v>5</v>
      </c>
    </row>
    <row r="11" spans="1:12" s="5" customFormat="1" ht="22.5" customHeight="1">
      <c r="A11" s="22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7" s="7" customFormat="1" ht="225">
      <c r="A12" s="9">
        <v>1</v>
      </c>
      <c r="B12" s="10" t="s">
        <v>4</v>
      </c>
      <c r="C12" s="10" t="s">
        <v>46</v>
      </c>
      <c r="D12" s="11" t="str">
        <f aca="true" ca="1" t="shared" si="0" ref="D12:D17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 * 111 * 1,196*1,06*1,1875</v>
      </c>
      <c r="E12" s="12">
        <v>5</v>
      </c>
      <c r="F12" s="12" t="str">
        <f ca="1">IF(INDIRECT("J"&amp;ROW())="текущие цены",IF(INDIRECT("G"&amp;ROW())="","0","0"),IF(INDIRECT("G"&amp;ROW())="","167.11","111"))</f>
        <v>111</v>
      </c>
      <c r="G12" s="12" t="s">
        <v>5</v>
      </c>
      <c r="H12" s="12"/>
      <c r="I12" s="12"/>
      <c r="J12" s="12" t="s">
        <v>6</v>
      </c>
      <c r="K12" s="12" t="s">
        <v>7</v>
      </c>
      <c r="L12" s="13">
        <f ca="1">IF(INDIRECT("J"&amp;ROW())="текущие цены",0/1000,836/1000)</f>
        <v>0.836</v>
      </c>
      <c r="M12" s="5"/>
      <c r="N12" s="5"/>
      <c r="O12" s="5"/>
      <c r="P12" s="5"/>
      <c r="Q12" s="5"/>
    </row>
    <row r="13" spans="1:17" ht="255">
      <c r="A13" s="9">
        <v>2</v>
      </c>
      <c r="B13" s="10" t="s">
        <v>8</v>
      </c>
      <c r="C13" s="10" t="s">
        <v>47</v>
      </c>
      <c r="D13" s="11" t="str">
        <f ca="1" t="shared" si="0"/>
        <v>1 * 5983 * 1,3*1,196*1,06*1,1875</v>
      </c>
      <c r="E13" s="12">
        <v>1</v>
      </c>
      <c r="F13" s="12" t="str">
        <f ca="1">IF(INDIRECT("J"&amp;ROW())="текущие цены",IF(INDIRECT("G"&amp;ROW())="","0","0"),IF(INDIRECT("G"&amp;ROW())="","11709.36","5983"))</f>
        <v>5983</v>
      </c>
      <c r="G13" s="12" t="s">
        <v>9</v>
      </c>
      <c r="H13" s="12"/>
      <c r="I13" s="12"/>
      <c r="J13" s="12" t="s">
        <v>6</v>
      </c>
      <c r="K13" s="12" t="s">
        <v>10</v>
      </c>
      <c r="L13" s="13">
        <f ca="1">IF(INDIRECT("J"&amp;ROW())="текущие цены",0/1000,11709/1000)</f>
        <v>11.709</v>
      </c>
      <c r="M13" s="5"/>
      <c r="N13" s="5"/>
      <c r="O13" s="5"/>
      <c r="P13" s="5"/>
      <c r="Q13" s="5"/>
    </row>
    <row r="14" spans="1:17" ht="240">
      <c r="A14" s="9">
        <v>3</v>
      </c>
      <c r="B14" s="10" t="s">
        <v>11</v>
      </c>
      <c r="C14" s="10" t="s">
        <v>48</v>
      </c>
      <c r="D14" s="11" t="str">
        <f ca="1" t="shared" si="0"/>
        <v>1 * 1418 * 0,4*1,196*1,06*1,1875</v>
      </c>
      <c r="E14" s="12">
        <v>1</v>
      </c>
      <c r="F14" s="12" t="str">
        <f ca="1">IF(INDIRECT("J"&amp;ROW())="текущие цены",IF(INDIRECT("G"&amp;ROW())="","0","0"),IF(INDIRECT("G"&amp;ROW())="","853.9","1418"))</f>
        <v>1418</v>
      </c>
      <c r="G14" s="12" t="s">
        <v>12</v>
      </c>
      <c r="H14" s="12"/>
      <c r="I14" s="12"/>
      <c r="J14" s="12" t="s">
        <v>6</v>
      </c>
      <c r="K14" s="12" t="s">
        <v>13</v>
      </c>
      <c r="L14" s="13">
        <f ca="1">IF(INDIRECT("J"&amp;ROW())="текущие цены",0/1000,854/1000)</f>
        <v>0.854</v>
      </c>
      <c r="M14" s="5"/>
      <c r="N14" s="5"/>
      <c r="O14" s="5"/>
      <c r="P14" s="5"/>
      <c r="Q14" s="5"/>
    </row>
    <row r="15" spans="1:17" ht="225">
      <c r="A15" s="9">
        <v>4</v>
      </c>
      <c r="B15" s="10" t="s">
        <v>14</v>
      </c>
      <c r="C15" s="10" t="s">
        <v>49</v>
      </c>
      <c r="D15" s="11" t="str">
        <f ca="1" t="shared" si="0"/>
        <v>1 * 3481 * 1,196*1,06*1,1875</v>
      </c>
      <c r="E15" s="12">
        <v>1</v>
      </c>
      <c r="F15" s="12" t="str">
        <f ca="1">IF(INDIRECT("J"&amp;ROW())="текущие цены",IF(INDIRECT("G"&amp;ROW())="","0","0"),IF(INDIRECT("G"&amp;ROW())="","5240.52","3481"))</f>
        <v>3481</v>
      </c>
      <c r="G15" s="12" t="s">
        <v>5</v>
      </c>
      <c r="H15" s="12"/>
      <c r="I15" s="12"/>
      <c r="J15" s="12" t="s">
        <v>6</v>
      </c>
      <c r="K15" s="12" t="s">
        <v>7</v>
      </c>
      <c r="L15" s="13">
        <f ca="1">IF(INDIRECT("J"&amp;ROW())="текущие цены",0/1000,5241/1000)</f>
        <v>5.241</v>
      </c>
      <c r="M15" s="5"/>
      <c r="N15" s="5"/>
      <c r="O15" s="5"/>
      <c r="P15" s="5"/>
      <c r="Q15" s="5"/>
    </row>
    <row r="16" spans="1:17" ht="225">
      <c r="A16" s="9">
        <v>5</v>
      </c>
      <c r="B16" s="10" t="s">
        <v>15</v>
      </c>
      <c r="C16" s="10" t="s">
        <v>50</v>
      </c>
      <c r="D16" s="11" t="str">
        <f ca="1" t="shared" si="0"/>
        <v>0,3 * 14238 * 1,196*1,06*1,1875</v>
      </c>
      <c r="E16" s="12">
        <v>0.3</v>
      </c>
      <c r="F16" s="12" t="str">
        <f ca="1">IF(INDIRECT("J"&amp;ROW())="текущие цены",IF(INDIRECT("G"&amp;ROW())="","0","0"),IF(INDIRECT("G"&amp;ROW())="","21434.81","14238"))</f>
        <v>14238</v>
      </c>
      <c r="G16" s="12" t="s">
        <v>5</v>
      </c>
      <c r="H16" s="12"/>
      <c r="I16" s="12"/>
      <c r="J16" s="12" t="s">
        <v>6</v>
      </c>
      <c r="K16" s="12" t="s">
        <v>7</v>
      </c>
      <c r="L16" s="13">
        <f ca="1">IF(INDIRECT("J"&amp;ROW())="текущие цены",0/1000,6430/1000)</f>
        <v>6.43</v>
      </c>
      <c r="M16" s="5"/>
      <c r="N16" s="5"/>
      <c r="O16" s="5"/>
      <c r="P16" s="5"/>
      <c r="Q16" s="5"/>
    </row>
    <row r="17" spans="1:17" ht="225">
      <c r="A17" s="14">
        <v>6</v>
      </c>
      <c r="B17" s="15" t="s">
        <v>16</v>
      </c>
      <c r="C17" s="15" t="s">
        <v>51</v>
      </c>
      <c r="D17" s="16" t="str">
        <f ca="1" t="shared" si="0"/>
        <v>0,2 * 7913 * 1,196*1,06*1,1875</v>
      </c>
      <c r="E17" s="17">
        <v>0.2</v>
      </c>
      <c r="F17" s="17" t="str">
        <f ca="1">IF(INDIRECT("J"&amp;ROW())="текущие цены",IF(INDIRECT("G"&amp;ROW())="","0","0"),IF(INDIRECT("G"&amp;ROW())="","11912.74","7913"))</f>
        <v>7913</v>
      </c>
      <c r="G17" s="17" t="s">
        <v>5</v>
      </c>
      <c r="H17" s="17"/>
      <c r="I17" s="17"/>
      <c r="J17" s="17" t="s">
        <v>6</v>
      </c>
      <c r="K17" s="17" t="s">
        <v>7</v>
      </c>
      <c r="L17" s="18">
        <f ca="1">IF(INDIRECT("J"&amp;ROW())="текущие цены",0/1000,2383/1000)</f>
        <v>2.383</v>
      </c>
      <c r="M17" s="5"/>
      <c r="N17" s="5"/>
      <c r="O17" s="5"/>
      <c r="P17" s="5"/>
      <c r="Q17" s="5"/>
    </row>
    <row r="18" spans="1:17" ht="15">
      <c r="A18" s="24" t="s">
        <v>63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3">
        <f>27453/1000</f>
        <v>27.453</v>
      </c>
      <c r="M18" s="5"/>
      <c r="N18" s="5"/>
      <c r="O18" s="5"/>
      <c r="P18" s="5"/>
      <c r="Q18" s="5"/>
    </row>
    <row r="19" spans="1:17" ht="15.75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3"/>
      <c r="M19" s="5"/>
      <c r="N19" s="5"/>
      <c r="O19" s="5"/>
      <c r="P19" s="5"/>
      <c r="Q19" s="5"/>
    </row>
    <row r="20" spans="1:17" ht="15">
      <c r="A20" s="24" t="s">
        <v>18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3">
        <f>27453/1000</f>
        <v>27.453</v>
      </c>
      <c r="M20" s="5"/>
      <c r="N20" s="5"/>
      <c r="O20" s="5"/>
      <c r="P20" s="5"/>
      <c r="Q20" s="5"/>
    </row>
    <row r="21" spans="1:17" ht="15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3">
        <f>27453/1000</f>
        <v>27.453</v>
      </c>
      <c r="M21" s="5"/>
      <c r="N21" s="5"/>
      <c r="O21" s="5"/>
      <c r="P21" s="5"/>
      <c r="Q21" s="5"/>
    </row>
    <row r="22" spans="1:17" ht="15">
      <c r="A22" s="24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3">
        <f>104047/1000</f>
        <v>104.047</v>
      </c>
      <c r="M22" s="5"/>
      <c r="N22" s="5"/>
      <c r="O22" s="5"/>
      <c r="P22" s="5"/>
      <c r="Q22" s="5"/>
    </row>
    <row r="23" spans="1:17" ht="15" customHeight="1">
      <c r="A23" s="28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8">
        <f>104047/1000</f>
        <v>104.047</v>
      </c>
      <c r="M23" s="5"/>
      <c r="N23" s="5"/>
      <c r="O23" s="5"/>
      <c r="P23" s="5"/>
      <c r="Q23" s="5"/>
    </row>
    <row r="24" spans="1:17" ht="16.5">
      <c r="A24" s="22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5"/>
      <c r="N24" s="5"/>
      <c r="O24" s="5"/>
      <c r="P24" s="5"/>
      <c r="Q24" s="5"/>
    </row>
    <row r="25" spans="1:17" ht="63.75" customHeight="1">
      <c r="A25" s="9">
        <v>7</v>
      </c>
      <c r="B25" s="10" t="s">
        <v>21</v>
      </c>
      <c r="C25" s="10" t="s">
        <v>52</v>
      </c>
      <c r="D25" s="11" t="str">
        <f aca="true" ca="1" t="shared" si="1" ref="D25:D3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2360 * 1,3</v>
      </c>
      <c r="E25" s="12">
        <v>1</v>
      </c>
      <c r="F25" s="12" t="str">
        <f ca="1">IF(INDIRECT("J"&amp;ROW())="текущие цены",IF(INDIRECT("G"&amp;ROW())="","0","0"),IF(INDIRECT("G"&amp;ROW())="","3068","2360"))</f>
        <v>2360</v>
      </c>
      <c r="G25" s="12">
        <v>1.3</v>
      </c>
      <c r="H25" s="12"/>
      <c r="I25" s="12"/>
      <c r="J25" s="12" t="s">
        <v>6</v>
      </c>
      <c r="K25" s="12" t="s">
        <v>22</v>
      </c>
      <c r="L25" s="13">
        <f ca="1">IF(INDIRECT("J"&amp;ROW())="текущие цены",0/1000,3068/1000)</f>
        <v>3.068</v>
      </c>
      <c r="M25" s="5"/>
      <c r="N25" s="5"/>
      <c r="O25" s="5"/>
      <c r="P25" s="5"/>
      <c r="Q25" s="5"/>
    </row>
    <row r="26" spans="1:17" ht="75">
      <c r="A26" s="9">
        <v>8</v>
      </c>
      <c r="B26" s="10" t="s">
        <v>23</v>
      </c>
      <c r="C26" s="10" t="s">
        <v>53</v>
      </c>
      <c r="D26" s="11" t="str">
        <f ca="1" t="shared" si="1"/>
        <v>1 * 378 </v>
      </c>
      <c r="E26" s="12">
        <v>1</v>
      </c>
      <c r="F26" s="12" t="str">
        <f ca="1">IF(INDIRECT("J"&amp;ROW())="текущие цены",IF(INDIRECT("G"&amp;ROW())="","0","0"),IF(INDIRECT("G"&amp;ROW())="","378","378"))</f>
        <v>378</v>
      </c>
      <c r="G26" s="12"/>
      <c r="H26" s="12"/>
      <c r="I26" s="12"/>
      <c r="J26" s="12" t="s">
        <v>6</v>
      </c>
      <c r="K26" s="12"/>
      <c r="L26" s="13">
        <f ca="1">IF(INDIRECT("J"&amp;ROW())="текущие цены",0/1000,378/1000)</f>
        <v>0.378</v>
      </c>
      <c r="M26" s="5"/>
      <c r="N26" s="5"/>
      <c r="O26" s="5"/>
      <c r="P26" s="5"/>
      <c r="Q26" s="5"/>
    </row>
    <row r="27" spans="1:17" ht="62.25" customHeight="1">
      <c r="A27" s="9">
        <v>9</v>
      </c>
      <c r="B27" s="10" t="s">
        <v>24</v>
      </c>
      <c r="C27" s="10" t="s">
        <v>54</v>
      </c>
      <c r="D27" s="11" t="str">
        <f ca="1" t="shared" si="1"/>
        <v>1 * 1269 * 1,1</v>
      </c>
      <c r="E27" s="12">
        <v>1</v>
      </c>
      <c r="F27" s="12" t="str">
        <f ca="1">IF(INDIRECT("J"&amp;ROW())="текущие цены",IF(INDIRECT("G"&amp;ROW())="","0","0"),IF(INDIRECT("G"&amp;ROW())="","1395.9","1269"))</f>
        <v>1269</v>
      </c>
      <c r="G27" s="12">
        <v>1.1</v>
      </c>
      <c r="H27" s="12"/>
      <c r="I27" s="12"/>
      <c r="J27" s="12" t="s">
        <v>6</v>
      </c>
      <c r="K27" s="12" t="s">
        <v>25</v>
      </c>
      <c r="L27" s="13">
        <f ca="1">IF(INDIRECT("J"&amp;ROW())="текущие цены",0/1000,1396/1000)</f>
        <v>1.396</v>
      </c>
      <c r="M27" s="5"/>
      <c r="N27" s="5"/>
      <c r="O27" s="5"/>
      <c r="P27" s="5"/>
      <c r="Q27" s="5"/>
    </row>
    <row r="28" spans="1:17" ht="90">
      <c r="A28" s="9">
        <v>10</v>
      </c>
      <c r="B28" s="10" t="s">
        <v>26</v>
      </c>
      <c r="C28" s="10" t="s">
        <v>55</v>
      </c>
      <c r="D28" s="11" t="str">
        <f ca="1" t="shared" si="1"/>
        <v>0,3 * 8697 </v>
      </c>
      <c r="E28" s="12">
        <v>0.3</v>
      </c>
      <c r="F28" s="12" t="str">
        <f ca="1">IF(INDIRECT("J"&amp;ROW())="текущие цены",IF(INDIRECT("G"&amp;ROW())="","0","0"),IF(INDIRECT("G"&amp;ROW())="","8697","8697"))</f>
        <v>8697</v>
      </c>
      <c r="G28" s="12"/>
      <c r="H28" s="12"/>
      <c r="I28" s="12"/>
      <c r="J28" s="12" t="s">
        <v>6</v>
      </c>
      <c r="K28" s="12"/>
      <c r="L28" s="13">
        <f ca="1">IF(INDIRECT("J"&amp;ROW())="текущие цены",0/1000,2609/1000)</f>
        <v>2.609</v>
      </c>
      <c r="M28" s="5"/>
      <c r="N28" s="5"/>
      <c r="O28" s="5"/>
      <c r="P28" s="5"/>
      <c r="Q28" s="5"/>
    </row>
    <row r="29" spans="1:17" ht="75">
      <c r="A29" s="9">
        <v>11</v>
      </c>
      <c r="B29" s="10" t="s">
        <v>27</v>
      </c>
      <c r="C29" s="10" t="s">
        <v>56</v>
      </c>
      <c r="D29" s="11" t="str">
        <f ca="1" t="shared" si="1"/>
        <v>0,2 * 4889 </v>
      </c>
      <c r="E29" s="12">
        <v>0.2</v>
      </c>
      <c r="F29" s="12" t="str">
        <f ca="1">IF(INDIRECT("J"&amp;ROW())="текущие цены",IF(INDIRECT("G"&amp;ROW())="","0","0"),IF(INDIRECT("G"&amp;ROW())="","4889","4889"))</f>
        <v>4889</v>
      </c>
      <c r="G29" s="12"/>
      <c r="H29" s="12"/>
      <c r="I29" s="12"/>
      <c r="J29" s="12" t="s">
        <v>6</v>
      </c>
      <c r="K29" s="12"/>
      <c r="L29" s="13">
        <f ca="1">IF(INDIRECT("J"&amp;ROW())="текущие цены",0/1000,978/1000)</f>
        <v>0.978</v>
      </c>
      <c r="M29" s="5"/>
      <c r="N29" s="5"/>
      <c r="O29" s="5"/>
      <c r="P29" s="5"/>
      <c r="Q29" s="5"/>
    </row>
    <row r="30" spans="1:17" ht="30">
      <c r="A30" s="9">
        <v>12</v>
      </c>
      <c r="B30" s="10" t="s">
        <v>28</v>
      </c>
      <c r="C30" s="10" t="s">
        <v>57</v>
      </c>
      <c r="D30" s="11" t="str">
        <f ca="1" t="shared" si="1"/>
        <v>2 * 235 </v>
      </c>
      <c r="E30" s="12">
        <v>2</v>
      </c>
      <c r="F30" s="12" t="str">
        <f ca="1">IF(INDIRECT("J"&amp;ROW())="текущие цены",IF(INDIRECT("G"&amp;ROW())="","0","0"),IF(INDIRECT("G"&amp;ROW())="","235","235"))</f>
        <v>235</v>
      </c>
      <c r="G30" s="12"/>
      <c r="H30" s="12"/>
      <c r="I30" s="12"/>
      <c r="J30" s="12" t="s">
        <v>6</v>
      </c>
      <c r="K30" s="12"/>
      <c r="L30" s="13">
        <f ca="1">IF(INDIRECT("J"&amp;ROW())="текущие цены",0/1000,470/1000)</f>
        <v>0.47</v>
      </c>
      <c r="M30" s="5"/>
      <c r="N30" s="5"/>
      <c r="O30" s="5"/>
      <c r="P30" s="5"/>
      <c r="Q30" s="5"/>
    </row>
    <row r="31" spans="1:17" ht="45">
      <c r="A31" s="14">
        <v>13</v>
      </c>
      <c r="B31" s="15" t="s">
        <v>29</v>
      </c>
      <c r="C31" s="15" t="s">
        <v>58</v>
      </c>
      <c r="D31" s="16" t="str">
        <f ca="1" t="shared" si="1"/>
        <v>2 * 80 </v>
      </c>
      <c r="E31" s="17">
        <v>2</v>
      </c>
      <c r="F31" s="17" t="str">
        <f ca="1">IF(INDIRECT("J"&amp;ROW())="текущие цены",IF(INDIRECT("G"&amp;ROW())="","0","0"),IF(INDIRECT("G"&amp;ROW())="","80","80"))</f>
        <v>80</v>
      </c>
      <c r="G31" s="17"/>
      <c r="H31" s="17"/>
      <c r="I31" s="17"/>
      <c r="J31" s="17" t="s">
        <v>6</v>
      </c>
      <c r="K31" s="17"/>
      <c r="L31" s="18">
        <f ca="1">IF(INDIRECT("J"&amp;ROW())="текущие цены",0/1000,160/1000)</f>
        <v>0.16</v>
      </c>
      <c r="M31" s="5"/>
      <c r="N31" s="5"/>
      <c r="O31" s="5"/>
      <c r="P31" s="5"/>
      <c r="Q31" s="5"/>
    </row>
    <row r="32" spans="1:17" ht="15">
      <c r="A32" s="24" t="s">
        <v>63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3">
        <f>9059/1000</f>
        <v>9.059</v>
      </c>
      <c r="M32" s="5"/>
      <c r="N32" s="5"/>
      <c r="O32" s="5"/>
      <c r="P32" s="5"/>
      <c r="Q32" s="5"/>
    </row>
    <row r="33" spans="1:17" ht="15">
      <c r="A33" s="26" t="s">
        <v>30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3"/>
      <c r="M33" s="5"/>
      <c r="N33" s="5"/>
      <c r="O33" s="5"/>
      <c r="P33" s="5"/>
      <c r="Q33" s="5"/>
    </row>
    <row r="34" spans="1:17" ht="15">
      <c r="A34" s="24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3">
        <f>9059/1000</f>
        <v>9.059</v>
      </c>
      <c r="M34" s="5"/>
      <c r="N34" s="5"/>
      <c r="O34" s="5"/>
      <c r="P34" s="5"/>
      <c r="Q34" s="5"/>
    </row>
    <row r="35" spans="1:17" ht="15">
      <c r="A35" s="24" t="s">
        <v>19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3">
        <f>9059/1000</f>
        <v>9.059</v>
      </c>
      <c r="M35" s="5"/>
      <c r="N35" s="5"/>
      <c r="O35" s="5"/>
      <c r="P35" s="5"/>
      <c r="Q35" s="5"/>
    </row>
    <row r="36" spans="1:17" ht="15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3">
        <f>34334/1000</f>
        <v>34.334</v>
      </c>
      <c r="M36" s="5"/>
      <c r="N36" s="5"/>
      <c r="O36" s="5"/>
      <c r="P36" s="5"/>
      <c r="Q36" s="5"/>
    </row>
    <row r="37" spans="1:17" ht="15" customHeight="1">
      <c r="A37" s="28" t="s">
        <v>31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8">
        <f>34334/1000</f>
        <v>34.334</v>
      </c>
      <c r="M37" s="5"/>
      <c r="N37" s="5"/>
      <c r="O37" s="5"/>
      <c r="P37" s="5"/>
      <c r="Q37" s="5"/>
    </row>
    <row r="38" spans="1:17" ht="16.5">
      <c r="A38" s="22" t="s">
        <v>45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"/>
      <c r="N38" s="5"/>
      <c r="O38" s="5"/>
      <c r="P38" s="5"/>
      <c r="Q38" s="5"/>
    </row>
    <row r="39" spans="1:17" ht="90">
      <c r="A39" s="9">
        <v>14</v>
      </c>
      <c r="B39" s="10" t="s">
        <v>32</v>
      </c>
      <c r="C39" s="10" t="s">
        <v>59</v>
      </c>
      <c r="D39" s="11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13838.1 </v>
      </c>
      <c r="E39" s="12">
        <v>1</v>
      </c>
      <c r="F39" s="12" t="str">
        <f ca="1">IF(INDIRECT("J"&amp;ROW())="текущие цены",IF(INDIRECT("G"&amp;ROW())="","0","0"),IF(INDIRECT("G"&amp;ROW())="","13838.1","13838.1"))</f>
        <v>13838.1</v>
      </c>
      <c r="G39" s="12"/>
      <c r="H39" s="12"/>
      <c r="I39" s="12"/>
      <c r="J39" s="12" t="s">
        <v>6</v>
      </c>
      <c r="K39" s="12"/>
      <c r="L39" s="13">
        <f ca="1">IF(INDIRECT("J"&amp;ROW())="текущие цены",0/1000,13838/1000)</f>
        <v>13.838</v>
      </c>
      <c r="M39" s="5"/>
      <c r="N39" s="5"/>
      <c r="O39" s="5"/>
      <c r="P39" s="5"/>
      <c r="Q39" s="5"/>
    </row>
    <row r="40" spans="1:17" ht="92.25" customHeight="1">
      <c r="A40" s="14">
        <v>15</v>
      </c>
      <c r="B40" s="15" t="s">
        <v>33</v>
      </c>
      <c r="C40" s="15" t="s">
        <v>60</v>
      </c>
      <c r="D40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5950.38 </v>
      </c>
      <c r="E40" s="17">
        <v>1</v>
      </c>
      <c r="F40" s="17" t="str">
        <f ca="1">IF(INDIRECT("J"&amp;ROW())="текущие цены",IF(INDIRECT("G"&amp;ROW())="","0","0"),IF(INDIRECT("G"&amp;ROW())="","5950.38","5950.38"))</f>
        <v>5950.38</v>
      </c>
      <c r="G40" s="17"/>
      <c r="H40" s="17"/>
      <c r="I40" s="17"/>
      <c r="J40" s="17" t="s">
        <v>6</v>
      </c>
      <c r="K40" s="17"/>
      <c r="L40" s="18">
        <f ca="1">IF(INDIRECT("J"&amp;ROW())="текущие цены",0/1000,5950/1000)</f>
        <v>5.95</v>
      </c>
      <c r="M40" s="5"/>
      <c r="N40" s="5"/>
      <c r="O40" s="5"/>
      <c r="P40" s="5"/>
      <c r="Q40" s="5"/>
    </row>
    <row r="41" spans="1:17" ht="15">
      <c r="A41" s="24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3">
        <f>19788/1000</f>
        <v>19.788</v>
      </c>
      <c r="M41" s="5"/>
      <c r="N41" s="5"/>
      <c r="O41" s="5"/>
      <c r="P41" s="5"/>
      <c r="Q41" s="5"/>
    </row>
    <row r="42" spans="1:17" ht="15">
      <c r="A42" s="26" t="s">
        <v>34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3"/>
      <c r="M42" s="5"/>
      <c r="N42" s="5"/>
      <c r="O42" s="5"/>
      <c r="P42" s="5"/>
      <c r="Q42" s="5"/>
    </row>
    <row r="43" spans="1:17" ht="15">
      <c r="A43" s="24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3">
        <f>19788/1000</f>
        <v>19.788</v>
      </c>
      <c r="M43" s="5"/>
      <c r="N43" s="5"/>
      <c r="O43" s="5"/>
      <c r="P43" s="5"/>
      <c r="Q43" s="5"/>
    </row>
    <row r="44" spans="1:17" ht="15">
      <c r="A44" s="24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3">
        <f>19788/1000</f>
        <v>19.788</v>
      </c>
      <c r="M44" s="5"/>
      <c r="N44" s="5"/>
      <c r="O44" s="5"/>
      <c r="P44" s="5"/>
      <c r="Q44" s="5"/>
    </row>
    <row r="45" spans="1:17" ht="15">
      <c r="A45" s="24" t="s">
        <v>35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3">
        <f>19788/1000</f>
        <v>19.788</v>
      </c>
      <c r="M45" s="5"/>
      <c r="N45" s="5"/>
      <c r="O45" s="5"/>
      <c r="P45" s="5"/>
      <c r="Q45" s="5"/>
    </row>
    <row r="46" spans="1:17" ht="15" customHeight="1">
      <c r="A46" s="28" t="s">
        <v>36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8">
        <f>19788/1000</f>
        <v>19.788</v>
      </c>
      <c r="M46" s="5"/>
      <c r="N46" s="5"/>
      <c r="O46" s="5"/>
      <c r="P46" s="5"/>
      <c r="Q46" s="5"/>
    </row>
    <row r="47" spans="1:17" ht="15">
      <c r="A47" s="30" t="s">
        <v>64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9">
        <f>56300/1000</f>
        <v>56.3</v>
      </c>
      <c r="M47" s="5"/>
      <c r="N47" s="5"/>
      <c r="O47" s="5"/>
      <c r="P47" s="5"/>
      <c r="Q47" s="5"/>
    </row>
    <row r="48" spans="1:17" ht="15">
      <c r="A48" s="31" t="s">
        <v>37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9"/>
      <c r="M48" s="5"/>
      <c r="N48" s="5"/>
      <c r="O48" s="5"/>
      <c r="P48" s="5"/>
      <c r="Q48" s="5"/>
    </row>
    <row r="49" spans="1:17" ht="15">
      <c r="A49" s="30" t="s">
        <v>61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9">
        <f>138380/1000</f>
        <v>138.38</v>
      </c>
      <c r="M49" s="5"/>
      <c r="N49" s="5"/>
      <c r="O49" s="5"/>
      <c r="P49" s="5"/>
      <c r="Q49" s="5"/>
    </row>
    <row r="50" spans="1:17" ht="15">
      <c r="A50" s="30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9">
        <f>19788/1000</f>
        <v>19.788</v>
      </c>
      <c r="M50" s="5"/>
      <c r="N50" s="5"/>
      <c r="O50" s="5"/>
      <c r="P50" s="5"/>
      <c r="Q50" s="5"/>
    </row>
    <row r="51" spans="1:17" ht="15">
      <c r="A51" s="30" t="s">
        <v>19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9">
        <f>158168/1000</f>
        <v>158.168</v>
      </c>
      <c r="M51" s="5"/>
      <c r="N51" s="5"/>
      <c r="O51" s="5"/>
      <c r="P51" s="5"/>
      <c r="Q51" s="5"/>
    </row>
    <row r="52" spans="1:17" ht="15" customHeight="1">
      <c r="A52" s="30" t="s">
        <v>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9">
        <f>28470/1000</f>
        <v>28.47</v>
      </c>
      <c r="M52" s="5"/>
      <c r="N52" s="5"/>
      <c r="O52" s="5"/>
      <c r="P52" s="5"/>
      <c r="Q52" s="5"/>
    </row>
    <row r="53" spans="1:17" ht="15">
      <c r="A53" s="31" t="s">
        <v>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9">
        <f>186638/1000</f>
        <v>186.638</v>
      </c>
      <c r="M53" s="5"/>
      <c r="N53" s="5"/>
      <c r="O53" s="5"/>
      <c r="P53" s="5"/>
      <c r="Q53" s="5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7"/>
      <c r="O54" s="7"/>
      <c r="P54" s="7"/>
      <c r="Q54" s="7"/>
    </row>
    <row r="55" spans="1:12" ht="15">
      <c r="A55" s="20" t="s">
        <v>66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</sheetData>
  <sheetProtection/>
  <mergeCells count="37">
    <mergeCell ref="A49:K49"/>
    <mergeCell ref="A7:L7"/>
    <mergeCell ref="B8:D8"/>
    <mergeCell ref="A24:L24"/>
    <mergeCell ref="A32:K32"/>
    <mergeCell ref="A33:K33"/>
    <mergeCell ref="A34:K34"/>
    <mergeCell ref="A35:K35"/>
    <mergeCell ref="A36:K36"/>
    <mergeCell ref="A46:K46"/>
    <mergeCell ref="A47:K47"/>
    <mergeCell ref="A48:K48"/>
    <mergeCell ref="A1:L1"/>
    <mergeCell ref="A2:L2"/>
    <mergeCell ref="A3:L3"/>
    <mergeCell ref="A4:L4"/>
    <mergeCell ref="A37:K37"/>
    <mergeCell ref="A38:L38"/>
    <mergeCell ref="A41:K41"/>
    <mergeCell ref="A42:K42"/>
    <mergeCell ref="A43:K43"/>
    <mergeCell ref="A55:L55"/>
    <mergeCell ref="A5:L5"/>
    <mergeCell ref="A6:L6"/>
    <mergeCell ref="A11:L11"/>
    <mergeCell ref="A18:K18"/>
    <mergeCell ref="A19:K19"/>
    <mergeCell ref="A20:K20"/>
    <mergeCell ref="A21:K21"/>
    <mergeCell ref="A22:K22"/>
    <mergeCell ref="A23:K23"/>
    <mergeCell ref="A52:K52"/>
    <mergeCell ref="A53:K53"/>
    <mergeCell ref="A44:K44"/>
    <mergeCell ref="A45:K45"/>
    <mergeCell ref="A50:K50"/>
    <mergeCell ref="A51:K5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70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2015-08-11T06:03:04Z</cp:lastPrinted>
  <dcterms:created xsi:type="dcterms:W3CDTF">2007-02-21T08:42:24Z</dcterms:created>
  <dcterms:modified xsi:type="dcterms:W3CDTF">2015-10-01T10:54:51Z</dcterms:modified>
  <cp:category/>
  <cp:version/>
  <cp:contentType/>
  <cp:contentStatus/>
</cp:coreProperties>
</file>