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данные'!$14:$14</definedName>
    <definedName name="_xlnm.Print_Area" localSheetId="0">'Мои данные'!$A$1:$N$59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58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1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55" authorId="0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46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46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60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4" authorId="0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</commentList>
</comments>
</file>

<file path=xl/sharedStrings.xml><?xml version="1.0" encoding="utf-8"?>
<sst xmlns="http://schemas.openxmlformats.org/spreadsheetml/2006/main" count="118" uniqueCount="87">
  <si>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</si>
  <si>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</si>
  <si>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</si>
  <si>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</si>
  <si>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</si>
  <si>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Инженерно-геодезические работы</t>
  </si>
  <si>
    <t>цены 2001</t>
  </si>
  <si>
    <t>км</t>
  </si>
  <si>
    <t>га</t>
  </si>
  <si>
    <t>УБЦ2 табл.4 п.1.</t>
  </si>
  <si>
    <t>7,5%</t>
  </si>
  <si>
    <t>%</t>
  </si>
  <si>
    <t xml:space="preserve">  Итого по разделу 1 Инженерно-геодезические работы</t>
  </si>
  <si>
    <t>Раздел 2. Инженерно-геологические и экологические работы</t>
  </si>
  <si>
    <t>Полевые работы</t>
  </si>
  <si>
    <t>1км маршрута</t>
  </si>
  <si>
    <t>м</t>
  </si>
  <si>
    <t>1 налив</t>
  </si>
  <si>
    <t>1 монолит</t>
  </si>
  <si>
    <t>Лабораторные работы</t>
  </si>
  <si>
    <t>1 образец</t>
  </si>
  <si>
    <t xml:space="preserve">  Итого по разделу 2 Инженерно-геологические и экологические работы</t>
  </si>
  <si>
    <t>Раздел 3. Проектные работы</t>
  </si>
  <si>
    <t>объект</t>
  </si>
  <si>
    <t xml:space="preserve">  Итого по разделу 3 Проектные работы</t>
  </si>
  <si>
    <t>Раздел 4. Экспертиза проекта</t>
  </si>
  <si>
    <t>ПП РФ  № 821 от 07.11.2008, № 840 от  23.09.2013, № 219 от 22.03.2014</t>
  </si>
  <si>
    <t>комплект</t>
  </si>
  <si>
    <t xml:space="preserve">  Итого по разделу 4 Экспертиза проекта</t>
  </si>
  <si>
    <t>Итоги по смете:</t>
  </si>
  <si>
    <t xml:space="preserve">  НДС 18%</t>
  </si>
  <si>
    <t xml:space="preserve">  ВСЕГО по смете</t>
  </si>
  <si>
    <t>Инженерно-геодезические изыскания трасс магистральных трубопроводов: 2 категории сложности - полевые работы
(км)</t>
  </si>
  <si>
    <t>Инженерно-геодезические изыскания трасс магистральных трубопроводов: 2 категории сложности - камеральные работы
(км)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</si>
  <si>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полевые работы
(га)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</si>
  <si>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камеральные работы
(га)</t>
  </si>
  <si>
    <t>Расходы по внутреннему транспорту при расстоянии от базы до участка изысканий до 5 км, при сметной ст-ти полевых изыск. работ 75-150 тыс. руб.
(%)</t>
  </si>
  <si>
    <t>Инженерно-геологическая, гидрогеологическая рекогносцировка при проходимости удовлетворительной: 2 категория сложности, полевые работы
(1км маршрута)</t>
  </si>
  <si>
    <t>Колонковое бурение скважины диаметром до 160мм, глубиной до 15м: категория породы 3
(м)</t>
  </si>
  <si>
    <t>Гидрогеологические наблюдения при бурении скважины диаметром до 160мм глубиной до 15м
(м)</t>
  </si>
  <si>
    <t>Экспресс-налив воды в шурф
(1 налив)</t>
  </si>
  <si>
    <t>Отбор монолитов из буровых скважин (связные грунты) с глубины до 10м
(1 монолит)</t>
  </si>
  <si>
    <t>Отбор монолитов из буровых скважин (связные грунты) с глубины св. 10 до 20м
(1 монолит)</t>
  </si>
  <si>
    <t>Расходы по внешнему транспорту в обоих направлениях изысканий, выполняемых в экспедиционных условиях, расстояние проезда и перевозки в одном направлении св. 25 до 100 км: % сметной стоимости изысканий продолжительностью до 1 мес. - 14,0
(%)</t>
  </si>
  <si>
    <t>Исследование консистенции при нарушенной структуре глинистых грунтов
(1 образец)</t>
  </si>
  <si>
    <t>Полный комплекс определений для глинистых грунтов с включениями частиц диаметром более 1мм (менее 10%)
(1 образец)</t>
  </si>
  <si>
    <t>Полный комплекс физико-механических свойств глинистого грунта с определением сопротивления грунта срезу (консолидированный срез) под нагрузкой до 0,6МПа
(1 образец)</t>
  </si>
  <si>
    <t>Единичные определения химического состава грунтов (почв): приготовление водной вытяжки
(1 образец)</t>
  </si>
  <si>
    <t>Анализ водной вытяжки с определением по разности суммы натрия и калия
(1 образец)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</si>
  <si>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
(1 образец)</t>
  </si>
  <si>
    <t>Единичные определения химического состава грунтов (почв): определение 25 химических элементов без пробоподготовки методом спектрального анализа
(1 образец)</t>
  </si>
  <si>
    <t>199000*1+20*5630</t>
  </si>
  <si>
    <t>Городской водопровод, сооружаемый открытым способом диаметром до 315 мм, протяженность св. 5000 м
(м)</t>
  </si>
  <si>
    <t>Расчет стоимости экспертизы проектной документации (27,3%)
(комплект)</t>
  </si>
  <si>
    <r>
      <t xml:space="preserve">УБЦ  табл.13 п.1-2-1
</t>
    </r>
    <r>
      <rPr>
        <i/>
        <sz val="9"/>
        <rFont val="Arial"/>
        <family val="2"/>
      </rPr>
      <t>"Инж.-геодез. изыск.(2004 г.)"</t>
    </r>
  </si>
  <si>
    <r>
      <t xml:space="preserve">УБЦ  табл.13 п.1-2-2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</si>
  <si>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п.1-3-1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</si>
  <si>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п.1-3-2
</t>
    </r>
    <r>
      <rPr>
        <i/>
        <sz val="9"/>
        <rFont val="Arial"/>
        <family val="2"/>
      </rPr>
      <t>"Инж.-геодез. изыск.(2004 г.)"</t>
    </r>
  </si>
  <si>
    <r>
      <t xml:space="preserve">СБЦИ  табл.9 п.2-2-1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</si>
  <si>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табл.17 п.1-3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</si>
  <si>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табл.18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</si>
  <si>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табл.36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</si>
  <si>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</si>
  <si>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</si>
  <si>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</si>
  <si>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</si>
  <si>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п.9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</si>
  <si>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п.25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</si>
  <si>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п.83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</si>
  <si>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табл.71 п.1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</si>
  <si>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п.57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</si>
  <si>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п.61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</si>
  <si>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  табл.6 п.4
</t>
    </r>
    <r>
      <rPr>
        <i/>
        <sz val="9"/>
        <rFont val="Arial"/>
        <family val="2"/>
      </rPr>
      <t xml:space="preserve"> Городские инж. сооружения и коммуникации (2008г.)</t>
    </r>
  </si>
  <si>
    <t xml:space="preserve">  Итого Перевод в текущие цены на 1 мая 2016 г. (Инф. сб. УЦИС КО № 2 (142) Проектные 3,93</t>
  </si>
  <si>
    <t xml:space="preserve">  Итого Перевод в текущие цены на 1 мая 2016 г. (Инф. сб. УЦИС КО № 2 (142) Изыскания 44,5</t>
  </si>
  <si>
    <t xml:space="preserve">  Итого Перевод в текущие цены на 1 мая 2016 г. (Инф. сб. УЦИС КО № 2 (142) Изыскания 3,92</t>
  </si>
  <si>
    <t>Итого затраты по разделам (1-4)</t>
  </si>
  <si>
    <t>Составил: ___________________________Е.А. Миронова</t>
  </si>
  <si>
    <t>(должность, подпись, расшифровка)</t>
  </si>
  <si>
    <t>УТВЕРЖДАЮ:</t>
  </si>
  <si>
    <t>_______________А.В. Грошев</t>
  </si>
  <si>
    <t>Приложение № 1 к закупочной докумнтации</t>
  </si>
  <si>
    <t>И.о. генерального директора</t>
  </si>
  <si>
    <t>ГП "Калугаоблводоканал"</t>
  </si>
  <si>
    <t xml:space="preserve">СМЕТА  </t>
  </si>
  <si>
    <t>на проектно-изыскательские  работы</t>
  </si>
  <si>
    <t>Выполнение проектно-изыскательских работ по объекту:  «Строительство сетей водоснабжения д. Желыбино и  сетей водоснабжения  с. Шахты – д. Воровая, МО «Город Калуга» с реконструкцией водовода (инвентарные номера 24063, 24065) от насосной станции 2-го подъема Окского водозабора до д. Шопино»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</si>
</sst>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14" applyFont="1" applyBorder="1">
      <alignment horizontal="center"/>
      <protection/>
    </xf>
    <xf numFmtId="0" fontId="7" fillId="0" borderId="0" xfId="114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117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11" xfId="8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9" fontId="7" fillId="0" borderId="1" xfId="0" applyNumberFormat="1" applyFont="1" applyBorder="1" applyAlignment="1">
      <alignment horizontal="center" vertical="top" wrapText="1"/>
    </xf>
    <xf numFmtId="164" fontId="7" fillId="0" borderId="1" xfId="57" applyNumberFormat="1" applyFont="1" applyBorder="1" applyAlignment="1">
      <alignment horizontal="right" vertical="top" wrapText="1"/>
      <protection/>
    </xf>
    <xf numFmtId="164" fontId="8" fillId="0" borderId="1" xfId="57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8" fillId="0" borderId="1" xfId="57" applyNumberFormat="1" applyFont="1" applyBorder="1" applyAlignment="1">
      <alignment horizontal="right" vertical="top" wrapText="1"/>
      <protection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7" fillId="0" borderId="0" xfId="114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114" applyFont="1" applyBorder="1" applyAlignment="1">
      <alignment horizontal="right" wrapText="1"/>
      <protection/>
    </xf>
    <xf numFmtId="0" fontId="8" fillId="0" borderId="0" xfId="0" applyFont="1" applyAlignment="1">
      <alignment horizontal="right" vertical="top"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9" fillId="0" borderId="12" xfId="0" applyNumberFormat="1" applyFont="1" applyBorder="1" applyAlignment="1">
      <alignment horizontal="left" vertical="top" wrapText="1" indent="5"/>
    </xf>
    <xf numFmtId="0" fontId="13" fillId="0" borderId="13" xfId="0" applyFont="1" applyBorder="1" applyAlignment="1">
      <alignment horizontal="left" vertical="top" wrapText="1" indent="5"/>
    </xf>
    <xf numFmtId="0" fontId="13" fillId="0" borderId="14" xfId="0" applyFont="1" applyBorder="1" applyAlignment="1">
      <alignment horizontal="left" vertical="top" wrapText="1" indent="5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57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7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9" fillId="0" borderId="0" xfId="114" applyFont="1" applyBorder="1" applyAlignment="1">
      <alignment horizontal="left" vertical="top" wrapText="1"/>
      <protection/>
    </xf>
    <xf numFmtId="0" fontId="6" fillId="0" borderId="0" xfId="114" applyFont="1">
      <alignment horizontal="center"/>
      <protection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114" applyNumberFormat="1" applyFont="1" applyBorder="1" applyAlignment="1">
      <alignment horizontal="center" vertical="top" wrapText="1"/>
      <protection/>
    </xf>
    <xf numFmtId="0" fontId="8" fillId="0" borderId="0" xfId="114" applyFont="1" applyBorder="1" applyAlignment="1">
      <alignment horizontal="center" vertical="top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едРесурсов" xfId="46"/>
    <cellStyle name="ВедРесурсовАкт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Итоги" xfId="57"/>
    <cellStyle name="ИтогоАктБазЦ" xfId="58"/>
    <cellStyle name="ИтогоАктБИМ" xfId="59"/>
    <cellStyle name="ИтогоАктБИМ 2" xfId="60"/>
    <cellStyle name="ИтогоАктБИМ 3" xfId="61"/>
    <cellStyle name="ИтогоАктБИМ 4" xfId="62"/>
    <cellStyle name="ИтогоАктБИМ 5" xfId="63"/>
    <cellStyle name="ИтогоАктРесМет" xfId="64"/>
    <cellStyle name="ИтогоАктРесМет 2" xfId="65"/>
    <cellStyle name="ИтогоАктРесМет 3" xfId="66"/>
    <cellStyle name="ИтогоАктРесМет 4" xfId="67"/>
    <cellStyle name="ИтогоАктРесМет 5" xfId="68"/>
    <cellStyle name="ИтогоБазЦ" xfId="69"/>
    <cellStyle name="ИтогоБИМ" xfId="70"/>
    <cellStyle name="ИтогоБИМ 2" xfId="71"/>
    <cellStyle name="ИтогоБИМ 3" xfId="72"/>
    <cellStyle name="ИтогоБИМ 4" xfId="73"/>
    <cellStyle name="ИтогоБИМ 5" xfId="74"/>
    <cellStyle name="ИтогоРесМет" xfId="75"/>
    <cellStyle name="ИтогоРесМет 2" xfId="76"/>
    <cellStyle name="ИтогоРесМет 3" xfId="77"/>
    <cellStyle name="ИтогоРесМет 4" xfId="78"/>
    <cellStyle name="ИтогоРесМет 5" xfId="79"/>
    <cellStyle name="Контрольная ячейка" xfId="80"/>
    <cellStyle name="ЛокСмета" xfId="81"/>
    <cellStyle name="ЛокСмМТСН" xfId="82"/>
    <cellStyle name="ЛокСмМТСН 2" xfId="83"/>
    <cellStyle name="ЛокСмМТСН 3" xfId="84"/>
    <cellStyle name="ЛокСмМТСН 4" xfId="85"/>
    <cellStyle name="ЛокСмМТСН 5" xfId="86"/>
    <cellStyle name="М29" xfId="87"/>
    <cellStyle name="М29 2" xfId="88"/>
    <cellStyle name="М29 3" xfId="89"/>
    <cellStyle name="М29 4" xfId="90"/>
    <cellStyle name="М29 5" xfId="91"/>
    <cellStyle name="Название" xfId="92"/>
    <cellStyle name="Нейтральный" xfId="93"/>
    <cellStyle name="ОбСмета" xfId="94"/>
    <cellStyle name="ОбСмета 2" xfId="95"/>
    <cellStyle name="ОбСмета 3" xfId="96"/>
    <cellStyle name="ОбСмета 4" xfId="97"/>
    <cellStyle name="ОбСмета 5" xfId="98"/>
    <cellStyle name="Параметр" xfId="99"/>
    <cellStyle name="ПеременныеСметы" xfId="100"/>
    <cellStyle name="Плохой" xfId="101"/>
    <cellStyle name="Пояснение" xfId="102"/>
    <cellStyle name="Примечание" xfId="103"/>
    <cellStyle name="Percent" xfId="104"/>
    <cellStyle name="РесСмета" xfId="105"/>
    <cellStyle name="СводкаСтоимРаб" xfId="106"/>
    <cellStyle name="СводРасч" xfId="107"/>
    <cellStyle name="СводРасч 2" xfId="108"/>
    <cellStyle name="СводРасч 3" xfId="109"/>
    <cellStyle name="СводРасч 4" xfId="110"/>
    <cellStyle name="СводРасч 5" xfId="111"/>
    <cellStyle name="Связанная ячейка" xfId="112"/>
    <cellStyle name="Текст предупреждения" xfId="113"/>
    <cellStyle name="Титул" xfId="114"/>
    <cellStyle name="Comma" xfId="115"/>
    <cellStyle name="Comma [0]" xfId="116"/>
    <cellStyle name="Хвост" xfId="117"/>
    <cellStyle name="Хороший" xfId="118"/>
    <cellStyle name="Экспертиза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12</xdr:row>
      <xdr:rowOff>847725</xdr:rowOff>
    </xdr:from>
    <xdr:to>
      <xdr:col>1</xdr:col>
      <xdr:colOff>2171700</xdr:colOff>
      <xdr:row>12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705225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60"/>
  <sheetViews>
    <sheetView showGridLines="0" tabSelected="1" view="pageBreakPreview" zoomScaleNormal="120" zoomScaleSheetLayoutView="100" zoomScalePageLayoutView="0" workbookViewId="0" topLeftCell="A43">
      <selection activeCell="C12" sqref="C12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20.2539062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1.125" style="1" customWidth="1"/>
    <col min="15" max="24" width="9.125" style="1" customWidth="1"/>
    <col min="25" max="25" width="56.00390625" style="10" customWidth="1"/>
    <col min="26" max="16384" width="9.125" style="1" customWidth="1"/>
  </cols>
  <sheetData>
    <row r="1" spans="1:14" ht="12.75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5" ht="12.75">
      <c r="A2" s="41" t="s">
        <v>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6"/>
      <c r="P2" s="36"/>
      <c r="Q2" s="36"/>
      <c r="R2" s="36"/>
      <c r="S2" s="36"/>
      <c r="T2" s="36"/>
      <c r="U2" s="36"/>
      <c r="V2" s="36"/>
      <c r="W2" s="36"/>
      <c r="X2" s="36"/>
      <c r="Y2" s="29"/>
    </row>
    <row r="3" spans="1:25" ht="14.25" customHeight="1">
      <c r="A3" s="48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6"/>
      <c r="P3" s="36"/>
      <c r="Q3" s="36"/>
      <c r="R3" s="36"/>
      <c r="S3" s="36"/>
      <c r="T3" s="36"/>
      <c r="U3" s="36"/>
      <c r="V3" s="36"/>
      <c r="W3" s="36"/>
      <c r="X3" s="36"/>
      <c r="Y3" s="29"/>
    </row>
    <row r="4" spans="1:25" ht="14.25" customHeight="1">
      <c r="A4" s="48" t="s">
        <v>83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6"/>
      <c r="P4" s="36"/>
      <c r="Q4" s="36"/>
      <c r="R4" s="36"/>
      <c r="S4" s="36"/>
      <c r="T4" s="36"/>
      <c r="U4" s="36"/>
      <c r="V4" s="36"/>
      <c r="W4" s="36"/>
      <c r="X4" s="36"/>
      <c r="Y4" s="29"/>
    </row>
    <row r="5" spans="1:25" ht="35.25" customHeight="1">
      <c r="A5" s="50" t="s">
        <v>80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6"/>
      <c r="P5" s="36"/>
      <c r="Q5" s="36"/>
      <c r="R5" s="36"/>
      <c r="S5" s="36"/>
      <c r="T5" s="36"/>
      <c r="U5" s="36"/>
      <c r="V5" s="36"/>
      <c r="W5" s="36"/>
      <c r="X5" s="36"/>
      <c r="Y5" s="29"/>
    </row>
    <row r="6" spans="1:25" ht="12.75">
      <c r="A6" s="36"/>
      <c r="B6" s="36"/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29"/>
    </row>
    <row r="7" spans="1:4" ht="12.75">
      <c r="A7" s="35"/>
      <c r="B7" s="35"/>
      <c r="C7" s="35"/>
      <c r="D7" s="35"/>
    </row>
    <row r="8" spans="1:14" ht="15.75">
      <c r="A8" s="56" t="s">
        <v>84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2.75">
      <c r="A9" s="57" t="s">
        <v>85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25" ht="56.25" customHeight="1">
      <c r="A11" s="61" t="s">
        <v>86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Y11" s="30"/>
    </row>
    <row r="12" spans="1:14" ht="12.7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s="6" customFormat="1" ht="100.5" customHeight="1">
      <c r="A13" s="5" t="s">
        <v>0</v>
      </c>
      <c r="B13" s="5" t="s">
        <v>1</v>
      </c>
      <c r="C13" s="5" t="s">
        <v>2</v>
      </c>
      <c r="D13" s="5" t="s">
        <v>3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4</v>
      </c>
    </row>
    <row r="14" spans="1:14" ht="12.75">
      <c r="A14" s="11">
        <v>1</v>
      </c>
      <c r="B14" s="11">
        <v>2</v>
      </c>
      <c r="C14" s="11">
        <v>3</v>
      </c>
      <c r="D14" s="11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5</v>
      </c>
    </row>
    <row r="15" spans="1:25" s="7" customFormat="1" ht="15" customHeight="1">
      <c r="A15" s="42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Y15" s="28"/>
    </row>
    <row r="16" spans="1:25" s="8" customFormat="1" ht="63.75">
      <c r="A16" s="12">
        <v>1</v>
      </c>
      <c r="B16" s="13" t="s">
        <v>32</v>
      </c>
      <c r="C16" s="26" t="s">
        <v>54</v>
      </c>
      <c r="D16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12076 </v>
      </c>
      <c r="E16" s="15">
        <f>IF(5.63="","0",5.63)</f>
        <v>5.63</v>
      </c>
      <c r="F16" s="15" t="str">
        <f ca="1">IF(INDIRECT("J"&amp;ROW())="текущие цены",IF(INDIRECT("G"&amp;ROW())="","0","0"),IF(INDIRECT("G"&amp;ROW())="","12076","12076"))</f>
        <v>12076</v>
      </c>
      <c r="G16" s="15"/>
      <c r="H16" s="15"/>
      <c r="I16" s="15"/>
      <c r="J16" s="15" t="s">
        <v>6</v>
      </c>
      <c r="K16" s="15"/>
      <c r="L16" s="15">
        <v>1</v>
      </c>
      <c r="M16" s="15" t="s">
        <v>7</v>
      </c>
      <c r="N16" s="16">
        <f ca="1">IF(INDIRECT("J"&amp;ROW())="текущие цены",0/1000,67987.88/1000)</f>
        <v>67.98788</v>
      </c>
      <c r="O16" s="7"/>
      <c r="P16" s="7"/>
      <c r="Q16" s="7"/>
      <c r="R16" s="7"/>
      <c r="S16" s="7"/>
      <c r="Y16" s="7"/>
    </row>
    <row r="17" spans="1:19" ht="63.75">
      <c r="A17" s="12">
        <v>2</v>
      </c>
      <c r="B17" s="13" t="s">
        <v>33</v>
      </c>
      <c r="C17" s="26" t="s">
        <v>55</v>
      </c>
      <c r="D17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5327 </v>
      </c>
      <c r="E17" s="15">
        <f>IF(5.63="","0",5.63)</f>
        <v>5.63</v>
      </c>
      <c r="F17" s="15" t="str">
        <f ca="1">IF(INDIRECT("J"&amp;ROW())="текущие цены",IF(INDIRECT("G"&amp;ROW())="","0","0"),IF(INDIRECT("G"&amp;ROW())="","5327","5327"))</f>
        <v>5327</v>
      </c>
      <c r="G17" s="15"/>
      <c r="H17" s="15"/>
      <c r="I17" s="15"/>
      <c r="J17" s="15" t="s">
        <v>6</v>
      </c>
      <c r="K17" s="15"/>
      <c r="L17" s="15">
        <v>1</v>
      </c>
      <c r="M17" s="15" t="s">
        <v>7</v>
      </c>
      <c r="N17" s="16">
        <f ca="1">IF(INDIRECT("J"&amp;ROW())="текущие цены",0/1000,29991.01/1000)</f>
        <v>29.99101</v>
      </c>
      <c r="O17" s="7"/>
      <c r="P17" s="7"/>
      <c r="Q17" s="7"/>
      <c r="R17" s="7"/>
      <c r="S17" s="7"/>
    </row>
    <row r="18" spans="1:19" ht="102">
      <c r="A18" s="12">
        <v>3</v>
      </c>
      <c r="B18" s="13" t="s">
        <v>34</v>
      </c>
      <c r="C18" s="26" t="s">
        <v>56</v>
      </c>
      <c r="D18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3352 </v>
      </c>
      <c r="E18" s="15">
        <f>IF(2="","0",2)</f>
        <v>2</v>
      </c>
      <c r="F18" s="15" t="str">
        <f ca="1">IF(INDIRECT("J"&amp;ROW())="текущие цены",IF(INDIRECT("G"&amp;ROW())="","0","0"),IF(INDIRECT("G"&amp;ROW())="","3352","3352"))</f>
        <v>3352</v>
      </c>
      <c r="G18" s="15"/>
      <c r="H18" s="15"/>
      <c r="I18" s="15"/>
      <c r="J18" s="15" t="s">
        <v>6</v>
      </c>
      <c r="K18" s="15"/>
      <c r="L18" s="15">
        <v>1</v>
      </c>
      <c r="M18" s="15" t="s">
        <v>8</v>
      </c>
      <c r="N18" s="16">
        <f ca="1">IF(INDIRECT("J"&amp;ROW())="текущие цены",0/1000,6704/1000)</f>
        <v>6.704</v>
      </c>
      <c r="O18" s="7"/>
      <c r="P18" s="7"/>
      <c r="Q18" s="7"/>
      <c r="R18" s="7"/>
      <c r="S18" s="7"/>
    </row>
    <row r="19" spans="1:19" ht="102">
      <c r="A19" s="12">
        <v>4</v>
      </c>
      <c r="B19" s="13" t="s">
        <v>35</v>
      </c>
      <c r="C19" s="26" t="s">
        <v>57</v>
      </c>
      <c r="D19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1436 </v>
      </c>
      <c r="E19" s="15">
        <f>IF(2="","0",2)</f>
        <v>2</v>
      </c>
      <c r="F19" s="15" t="str">
        <f ca="1">IF(INDIRECT("J"&amp;ROW())="текущие цены",IF(INDIRECT("G"&amp;ROW())="","0","0"),IF(INDIRECT("G"&amp;ROW())="","1436","1436"))</f>
        <v>1436</v>
      </c>
      <c r="G19" s="15"/>
      <c r="H19" s="15"/>
      <c r="I19" s="15"/>
      <c r="J19" s="15" t="s">
        <v>6</v>
      </c>
      <c r="K19" s="15"/>
      <c r="L19" s="15">
        <v>1</v>
      </c>
      <c r="M19" s="15" t="s">
        <v>8</v>
      </c>
      <c r="N19" s="16">
        <f ca="1">IF(INDIRECT("J"&amp;ROW())="текущие цены",0/1000,2872/1000)</f>
        <v>2.872</v>
      </c>
      <c r="O19" s="7"/>
      <c r="P19" s="7"/>
      <c r="Q19" s="7"/>
      <c r="R19" s="7"/>
      <c r="S19" s="7"/>
    </row>
    <row r="20" spans="1:19" ht="76.5">
      <c r="A20" s="17">
        <v>5</v>
      </c>
      <c r="B20" s="18" t="s">
        <v>36</v>
      </c>
      <c r="C20" s="27" t="s">
        <v>9</v>
      </c>
      <c r="D20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(7,5%) * 19556 </v>
      </c>
      <c r="E20" s="20">
        <f>IF(0.075="","0",0.075)</f>
        <v>0.075</v>
      </c>
      <c r="F20" s="20" t="str">
        <f ca="1">IF(INDIRECT("J"&amp;ROW())="текущие цены",IF(INDIRECT("G"&amp;ROW())="","0","0"),IF(INDIRECT("G"&amp;ROW())="","19556","19556"))</f>
        <v>19556</v>
      </c>
      <c r="G20" s="20"/>
      <c r="H20" s="20" t="s">
        <v>10</v>
      </c>
      <c r="I20" s="20"/>
      <c r="J20" s="20" t="s">
        <v>6</v>
      </c>
      <c r="K20" s="20"/>
      <c r="L20" s="20">
        <v>1</v>
      </c>
      <c r="M20" s="20" t="s">
        <v>11</v>
      </c>
      <c r="N20" s="21">
        <f ca="1">IF(INDIRECT("J"&amp;ROW())="текущие цены",0/1000,1466.7/1000)</f>
        <v>1.4667000000000001</v>
      </c>
      <c r="O20" s="7"/>
      <c r="P20" s="7"/>
      <c r="Q20" s="7"/>
      <c r="R20" s="7"/>
      <c r="S20" s="7"/>
    </row>
    <row r="21" spans="1:25" ht="12.75" customHeight="1">
      <c r="A21" s="38" t="s"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2">
        <f>428454.85/1000</f>
        <v>428.45484999999996</v>
      </c>
      <c r="O21" s="7"/>
      <c r="P21" s="7"/>
      <c r="Q21" s="7"/>
      <c r="R21" s="7"/>
      <c r="S21" s="7"/>
      <c r="Y21" s="30"/>
    </row>
    <row r="22" spans="1:25" ht="15" customHeight="1">
      <c r="A22" s="42" t="s">
        <v>13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7"/>
      <c r="P22" s="7"/>
      <c r="Q22" s="7"/>
      <c r="R22" s="7"/>
      <c r="S22" s="7"/>
      <c r="Y22" s="31"/>
    </row>
    <row r="23" spans="1:25" ht="12.75" customHeight="1">
      <c r="A23" s="45" t="s">
        <v>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7"/>
      <c r="P23" s="7"/>
      <c r="Q23" s="7"/>
      <c r="R23" s="7"/>
      <c r="S23" s="7"/>
      <c r="Y23" s="29"/>
    </row>
    <row r="24" spans="1:19" ht="76.5">
      <c r="A24" s="12">
        <v>6</v>
      </c>
      <c r="B24" s="13" t="s">
        <v>37</v>
      </c>
      <c r="C24" s="26" t="s">
        <v>58</v>
      </c>
      <c r="D24" s="14" t="str">
        <f aca="true" ca="1" t="shared" si="0" ref="D24:D30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27 </v>
      </c>
      <c r="E24" s="15">
        <f>IF(5.63="","0",5.63)</f>
        <v>5.63</v>
      </c>
      <c r="F24" s="15" t="str">
        <f ca="1">IF(INDIRECT("J"&amp;ROW())="текущие цены",IF(INDIRECT("G"&amp;ROW())="","0","0"),IF(INDIRECT("G"&amp;ROW())="","27","27"))</f>
        <v>27</v>
      </c>
      <c r="G24" s="15"/>
      <c r="H24" s="15"/>
      <c r="I24" s="15"/>
      <c r="J24" s="15" t="s">
        <v>6</v>
      </c>
      <c r="K24" s="15"/>
      <c r="L24" s="15">
        <v>2</v>
      </c>
      <c r="M24" s="15" t="s">
        <v>15</v>
      </c>
      <c r="N24" s="16">
        <f ca="1">IF(INDIRECT("J"&amp;ROW())="текущие цены",0/1000,152.01/1000)</f>
        <v>0.15200999999999998</v>
      </c>
      <c r="O24" s="7"/>
      <c r="P24" s="7"/>
      <c r="Q24" s="7"/>
      <c r="R24" s="7"/>
      <c r="S24" s="7"/>
    </row>
    <row r="25" spans="1:19" ht="51">
      <c r="A25" s="12">
        <v>7</v>
      </c>
      <c r="B25" s="13" t="s">
        <v>38</v>
      </c>
      <c r="C25" s="26" t="s">
        <v>59</v>
      </c>
      <c r="D25" s="14" t="str">
        <f ca="1" t="shared" si="0"/>
        <v>110 * 42.6 </v>
      </c>
      <c r="E25" s="15">
        <f>IF(110="","0",110)</f>
        <v>110</v>
      </c>
      <c r="F25" s="15" t="str">
        <f ca="1">IF(INDIRECT("J"&amp;ROW())="текущие цены",IF(INDIRECT("G"&amp;ROW())="","0","0"),IF(INDIRECT("G"&amp;ROW())="","42.6","42.6"))</f>
        <v>42.6</v>
      </c>
      <c r="G25" s="15"/>
      <c r="H25" s="15"/>
      <c r="I25" s="15"/>
      <c r="J25" s="15" t="s">
        <v>6</v>
      </c>
      <c r="K25" s="15"/>
      <c r="L25" s="15">
        <v>2</v>
      </c>
      <c r="M25" s="15" t="s">
        <v>16</v>
      </c>
      <c r="N25" s="16">
        <f ca="1">IF(INDIRECT("J"&amp;ROW())="текущие цены",0/1000,4686/1000)</f>
        <v>4.686</v>
      </c>
      <c r="O25" s="7"/>
      <c r="P25" s="7"/>
      <c r="Q25" s="7"/>
      <c r="R25" s="7"/>
      <c r="S25" s="7"/>
    </row>
    <row r="26" spans="1:19" ht="51">
      <c r="A26" s="12">
        <v>8</v>
      </c>
      <c r="B26" s="13" t="s">
        <v>39</v>
      </c>
      <c r="C26" s="26" t="s">
        <v>60</v>
      </c>
      <c r="D26" s="14" t="str">
        <f ca="1" t="shared" si="0"/>
        <v>110 * 1.6 </v>
      </c>
      <c r="E26" s="15">
        <f>IF(110="","0",110)</f>
        <v>110</v>
      </c>
      <c r="F26" s="15" t="str">
        <f ca="1">IF(INDIRECT("J"&amp;ROW())="текущие цены",IF(INDIRECT("G"&amp;ROW())="","0","0"),IF(INDIRECT("G"&amp;ROW())="","1.6","1.6"))</f>
        <v>1.6</v>
      </c>
      <c r="G26" s="15"/>
      <c r="H26" s="15"/>
      <c r="I26" s="15"/>
      <c r="J26" s="15" t="s">
        <v>6</v>
      </c>
      <c r="K26" s="15"/>
      <c r="L26" s="15">
        <v>2</v>
      </c>
      <c r="M26" s="15" t="s">
        <v>16</v>
      </c>
      <c r="N26" s="16">
        <f ca="1">IF(INDIRECT("J"&amp;ROW())="текущие цены",0/1000,176/1000)</f>
        <v>0.176</v>
      </c>
      <c r="O26" s="7"/>
      <c r="P26" s="7"/>
      <c r="Q26" s="7"/>
      <c r="R26" s="7"/>
      <c r="S26" s="7"/>
    </row>
    <row r="27" spans="1:19" ht="38.25">
      <c r="A27" s="12">
        <v>9</v>
      </c>
      <c r="B27" s="13" t="s">
        <v>40</v>
      </c>
      <c r="C27" s="26" t="s">
        <v>61</v>
      </c>
      <c r="D27" s="14" t="str">
        <f ca="1" t="shared" si="0"/>
        <v>1 * 130 </v>
      </c>
      <c r="E27" s="15">
        <f>IF(1="","0",1)</f>
        <v>1</v>
      </c>
      <c r="F27" s="15" t="str">
        <f ca="1">IF(INDIRECT("J"&amp;ROW())="текущие цены",IF(INDIRECT("G"&amp;ROW())="","0","0"),IF(INDIRECT("G"&amp;ROW())="","130","130"))</f>
        <v>130</v>
      </c>
      <c r="G27" s="15"/>
      <c r="H27" s="15"/>
      <c r="I27" s="15"/>
      <c r="J27" s="15" t="s">
        <v>6</v>
      </c>
      <c r="K27" s="15"/>
      <c r="L27" s="15">
        <v>2</v>
      </c>
      <c r="M27" s="15" t="s">
        <v>17</v>
      </c>
      <c r="N27" s="16">
        <f ca="1">IF(INDIRECT("J"&amp;ROW())="текущие цены",0/1000,130/1000)</f>
        <v>0.13</v>
      </c>
      <c r="O27" s="7"/>
      <c r="P27" s="7"/>
      <c r="Q27" s="7"/>
      <c r="R27" s="7"/>
      <c r="S27" s="7"/>
    </row>
    <row r="28" spans="1:19" ht="51">
      <c r="A28" s="12">
        <v>10</v>
      </c>
      <c r="B28" s="13" t="s">
        <v>41</v>
      </c>
      <c r="C28" s="26" t="s">
        <v>62</v>
      </c>
      <c r="D28" s="14" t="str">
        <f ca="1" t="shared" si="0"/>
        <v>25 * 22.9 </v>
      </c>
      <c r="E28" s="15">
        <f>IF(25="","0",25)</f>
        <v>25</v>
      </c>
      <c r="F28" s="15" t="str">
        <f ca="1">IF(INDIRECT("J"&amp;ROW())="текущие цены",IF(INDIRECT("G"&amp;ROW())="","0","0"),IF(INDIRECT("G"&amp;ROW())="","22.9","22.9"))</f>
        <v>22.9</v>
      </c>
      <c r="G28" s="15"/>
      <c r="H28" s="15"/>
      <c r="I28" s="15"/>
      <c r="J28" s="15" t="s">
        <v>6</v>
      </c>
      <c r="K28" s="15"/>
      <c r="L28" s="15">
        <v>2</v>
      </c>
      <c r="M28" s="15" t="s">
        <v>18</v>
      </c>
      <c r="N28" s="16">
        <f ca="1">IF(INDIRECT("J"&amp;ROW())="текущие цены",0/1000,572.5/1000)</f>
        <v>0.5725</v>
      </c>
      <c r="O28" s="7"/>
      <c r="P28" s="7"/>
      <c r="Q28" s="7"/>
      <c r="R28" s="7"/>
      <c r="S28" s="7"/>
    </row>
    <row r="29" spans="1:19" ht="51">
      <c r="A29" s="12">
        <v>11</v>
      </c>
      <c r="B29" s="13" t="s">
        <v>42</v>
      </c>
      <c r="C29" s="26" t="s">
        <v>63</v>
      </c>
      <c r="D29" s="14" t="str">
        <f ca="1" t="shared" si="0"/>
        <v>10 * 30.6 </v>
      </c>
      <c r="E29" s="15">
        <f>IF(10="","0",10)</f>
        <v>10</v>
      </c>
      <c r="F29" s="15" t="str">
        <f ca="1">IF(INDIRECT("J"&amp;ROW())="текущие цены",IF(INDIRECT("G"&amp;ROW())="","0","0"),IF(INDIRECT("G"&amp;ROW())="","30.6","30.6"))</f>
        <v>30.6</v>
      </c>
      <c r="G29" s="15"/>
      <c r="H29" s="15"/>
      <c r="I29" s="15"/>
      <c r="J29" s="15" t="s">
        <v>6</v>
      </c>
      <c r="K29" s="15"/>
      <c r="L29" s="15">
        <v>2</v>
      </c>
      <c r="M29" s="15" t="s">
        <v>18</v>
      </c>
      <c r="N29" s="16">
        <f ca="1">IF(INDIRECT("J"&amp;ROW())="текущие цены",0/1000,306/1000)</f>
        <v>0.306</v>
      </c>
      <c r="O29" s="7"/>
      <c r="P29" s="7"/>
      <c r="Q29" s="7"/>
      <c r="R29" s="7"/>
      <c r="S29" s="7"/>
    </row>
    <row r="30" spans="1:19" ht="114.75">
      <c r="A30" s="12">
        <v>12</v>
      </c>
      <c r="B30" s="13" t="s">
        <v>43</v>
      </c>
      <c r="C30" s="26" t="s">
        <v>64</v>
      </c>
      <c r="D30" s="14" t="str">
        <f ca="1" t="shared" si="0"/>
        <v>(0,14) * 5305.35 </v>
      </c>
      <c r="E30" s="15">
        <f>IF(0.14="","0",0.14)</f>
        <v>0.14</v>
      </c>
      <c r="F30" s="15" t="str">
        <f ca="1">IF(INDIRECT("J"&amp;ROW())="текущие цены",IF(INDIRECT("G"&amp;ROW())="","0","0"),IF(INDIRECT("G"&amp;ROW())="","5305.35","5305.35"))</f>
        <v>5305.35</v>
      </c>
      <c r="G30" s="15"/>
      <c r="H30" s="23">
        <v>0.14</v>
      </c>
      <c r="I30" s="15"/>
      <c r="J30" s="15" t="s">
        <v>6</v>
      </c>
      <c r="K30" s="15"/>
      <c r="L30" s="15">
        <v>2</v>
      </c>
      <c r="M30" s="15" t="s">
        <v>11</v>
      </c>
      <c r="N30" s="16">
        <f ca="1">IF(INDIRECT("J"&amp;ROW())="текущие цены",0/1000,742.75/1000)</f>
        <v>0.74275</v>
      </c>
      <c r="O30" s="7"/>
      <c r="P30" s="7"/>
      <c r="Q30" s="7"/>
      <c r="R30" s="7"/>
      <c r="S30" s="7"/>
    </row>
    <row r="31" spans="1:25" ht="12.75" customHeight="1">
      <c r="A31" s="45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7"/>
      <c r="P31" s="7"/>
      <c r="Q31" s="7"/>
      <c r="R31" s="7"/>
      <c r="S31" s="7"/>
      <c r="Y31" s="29"/>
    </row>
    <row r="32" spans="1:19" ht="51">
      <c r="A32" s="12">
        <v>13</v>
      </c>
      <c r="B32" s="13" t="s">
        <v>44</v>
      </c>
      <c r="C32" s="26" t="s">
        <v>65</v>
      </c>
      <c r="D32" s="14" t="str">
        <f aca="true" ca="1" t="shared" si="1" ref="D32:D38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25 * 18.2 </v>
      </c>
      <c r="E32" s="15">
        <f>IF(25="","0",25)</f>
        <v>25</v>
      </c>
      <c r="F32" s="15" t="str">
        <f ca="1">IF(INDIRECT("J"&amp;ROW())="текущие цены",IF(INDIRECT("G"&amp;ROW())="","0","0"),IF(INDIRECT("G"&amp;ROW())="","18.2","18.2"))</f>
        <v>18.2</v>
      </c>
      <c r="G32" s="15"/>
      <c r="H32" s="15"/>
      <c r="I32" s="15"/>
      <c r="J32" s="15" t="s">
        <v>6</v>
      </c>
      <c r="K32" s="15"/>
      <c r="L32" s="15">
        <v>2</v>
      </c>
      <c r="M32" s="15" t="s">
        <v>20</v>
      </c>
      <c r="N32" s="16">
        <f ca="1">IF(INDIRECT("J"&amp;ROW())="текущие цены",0/1000,455/1000)</f>
        <v>0.455</v>
      </c>
      <c r="O32" s="7"/>
      <c r="P32" s="7"/>
      <c r="Q32" s="7"/>
      <c r="R32" s="7"/>
      <c r="S32" s="7"/>
    </row>
    <row r="33" spans="1:19" ht="63.75">
      <c r="A33" s="12">
        <v>14</v>
      </c>
      <c r="B33" s="13" t="s">
        <v>45</v>
      </c>
      <c r="C33" s="26" t="s">
        <v>66</v>
      </c>
      <c r="D33" s="14" t="str">
        <f ca="1" t="shared" si="1"/>
        <v>10 * 38.4 </v>
      </c>
      <c r="E33" s="15">
        <f>IF(10="","0",10)</f>
        <v>10</v>
      </c>
      <c r="F33" s="15" t="str">
        <f ca="1">IF(INDIRECT("J"&amp;ROW())="текущие цены",IF(INDIRECT("G"&amp;ROW())="","0","0"),IF(INDIRECT("G"&amp;ROW())="","38.4","38.4"))</f>
        <v>38.4</v>
      </c>
      <c r="G33" s="15"/>
      <c r="H33" s="15"/>
      <c r="I33" s="15"/>
      <c r="J33" s="15" t="s">
        <v>6</v>
      </c>
      <c r="K33" s="15"/>
      <c r="L33" s="15">
        <v>2</v>
      </c>
      <c r="M33" s="15" t="s">
        <v>20</v>
      </c>
      <c r="N33" s="16">
        <f ca="1">IF(INDIRECT("J"&amp;ROW())="текущие цены",0/1000,384/1000)</f>
        <v>0.384</v>
      </c>
      <c r="O33" s="7"/>
      <c r="P33" s="7"/>
      <c r="Q33" s="7"/>
      <c r="R33" s="7"/>
      <c r="S33" s="7"/>
    </row>
    <row r="34" spans="1:19" ht="89.25">
      <c r="A34" s="12">
        <v>15</v>
      </c>
      <c r="B34" s="13" t="s">
        <v>46</v>
      </c>
      <c r="C34" s="26" t="s">
        <v>67</v>
      </c>
      <c r="D34" s="14" t="str">
        <f ca="1" t="shared" si="1"/>
        <v>25 * 193 </v>
      </c>
      <c r="E34" s="15">
        <f>IF(25="","0",25)</f>
        <v>25</v>
      </c>
      <c r="F34" s="15" t="str">
        <f ca="1">IF(INDIRECT("J"&amp;ROW())="текущие цены",IF(INDIRECT("G"&amp;ROW())="","0","0"),IF(INDIRECT("G"&amp;ROW())="","193","193"))</f>
        <v>193</v>
      </c>
      <c r="G34" s="15"/>
      <c r="H34" s="15"/>
      <c r="I34" s="15"/>
      <c r="J34" s="15" t="s">
        <v>6</v>
      </c>
      <c r="K34" s="15"/>
      <c r="L34" s="15">
        <v>2</v>
      </c>
      <c r="M34" s="15" t="s">
        <v>20</v>
      </c>
      <c r="N34" s="16">
        <f ca="1">IF(INDIRECT("J"&amp;ROW())="текущие цены",0/1000,4825/1000)</f>
        <v>4.825</v>
      </c>
      <c r="O34" s="7"/>
      <c r="P34" s="7"/>
      <c r="Q34" s="7"/>
      <c r="R34" s="7"/>
      <c r="S34" s="7"/>
    </row>
    <row r="35" spans="1:19" ht="51">
      <c r="A35" s="12">
        <v>16</v>
      </c>
      <c r="B35" s="13" t="s">
        <v>47</v>
      </c>
      <c r="C35" s="26" t="s">
        <v>68</v>
      </c>
      <c r="D35" s="14" t="str">
        <f ca="1" t="shared" si="1"/>
        <v>3 * 3.8 </v>
      </c>
      <c r="E35" s="15">
        <f>IF(3="","0",3)</f>
        <v>3</v>
      </c>
      <c r="F35" s="15" t="str">
        <f ca="1">IF(INDIRECT("J"&amp;ROW())="текущие цены",IF(INDIRECT("G"&amp;ROW())="","0","0"),IF(INDIRECT("G"&amp;ROW())="","3.8","3.8"))</f>
        <v>3.8</v>
      </c>
      <c r="G35" s="15"/>
      <c r="H35" s="15"/>
      <c r="I35" s="15"/>
      <c r="J35" s="15" t="s">
        <v>6</v>
      </c>
      <c r="K35" s="15"/>
      <c r="L35" s="15">
        <v>2</v>
      </c>
      <c r="M35" s="15" t="s">
        <v>20</v>
      </c>
      <c r="N35" s="16">
        <f ca="1">IF(INDIRECT("J"&amp;ROW())="текущие цены",0/1000,11.4/1000)</f>
        <v>0.0114</v>
      </c>
      <c r="O35" s="7"/>
      <c r="P35" s="7"/>
      <c r="Q35" s="7"/>
      <c r="R35" s="7"/>
      <c r="S35" s="7"/>
    </row>
    <row r="36" spans="1:19" ht="51">
      <c r="A36" s="12">
        <v>17</v>
      </c>
      <c r="B36" s="13" t="s">
        <v>48</v>
      </c>
      <c r="C36" s="26" t="s">
        <v>69</v>
      </c>
      <c r="D36" s="14" t="str">
        <f ca="1" t="shared" si="1"/>
        <v>3 * 48.8 </v>
      </c>
      <c r="E36" s="15">
        <f>IF(3="","0",3)</f>
        <v>3</v>
      </c>
      <c r="F36" s="15" t="str">
        <f ca="1">IF(INDIRECT("J"&amp;ROW())="текущие цены",IF(INDIRECT("G"&amp;ROW())="","0","0"),IF(INDIRECT("G"&amp;ROW())="","48.8","48.8"))</f>
        <v>48.8</v>
      </c>
      <c r="G36" s="15"/>
      <c r="H36" s="15"/>
      <c r="I36" s="15"/>
      <c r="J36" s="15" t="s">
        <v>6</v>
      </c>
      <c r="K36" s="15"/>
      <c r="L36" s="15">
        <v>2</v>
      </c>
      <c r="M36" s="15" t="s">
        <v>20</v>
      </c>
      <c r="N36" s="16">
        <f ca="1">IF(INDIRECT("J"&amp;ROW())="текущие цены",0/1000,146.4/1000)</f>
        <v>0.1464</v>
      </c>
      <c r="O36" s="7"/>
      <c r="P36" s="7"/>
      <c r="Q36" s="7"/>
      <c r="R36" s="7"/>
      <c r="S36" s="7"/>
    </row>
    <row r="37" spans="1:19" ht="89.25">
      <c r="A37" s="12">
        <v>18</v>
      </c>
      <c r="B37" s="13" t="s">
        <v>49</v>
      </c>
      <c r="C37" s="26" t="s">
        <v>70</v>
      </c>
      <c r="D37" s="14" t="str">
        <f ca="1" t="shared" si="1"/>
        <v>25 * 7.8 </v>
      </c>
      <c r="E37" s="15">
        <f>IF(25="","0",25)</f>
        <v>25</v>
      </c>
      <c r="F37" s="15" t="str">
        <f ca="1">IF(INDIRECT("J"&amp;ROW())="текущие цены",IF(INDIRECT("G"&amp;ROW())="","0","0"),IF(INDIRECT("G"&amp;ROW())="","7.8","7.8"))</f>
        <v>7.8</v>
      </c>
      <c r="G37" s="15"/>
      <c r="H37" s="15"/>
      <c r="I37" s="15"/>
      <c r="J37" s="15" t="s">
        <v>6</v>
      </c>
      <c r="K37" s="15"/>
      <c r="L37" s="15">
        <v>2</v>
      </c>
      <c r="M37" s="15" t="s">
        <v>20</v>
      </c>
      <c r="N37" s="16">
        <f ca="1">IF(INDIRECT("J"&amp;ROW())="текущие цены",0/1000,195/1000)</f>
        <v>0.195</v>
      </c>
      <c r="O37" s="7"/>
      <c r="P37" s="7"/>
      <c r="Q37" s="7"/>
      <c r="R37" s="7"/>
      <c r="S37" s="7"/>
    </row>
    <row r="38" spans="1:19" ht="76.5">
      <c r="A38" s="17">
        <v>19</v>
      </c>
      <c r="B38" s="18" t="s">
        <v>50</v>
      </c>
      <c r="C38" s="27" t="s">
        <v>71</v>
      </c>
      <c r="D38" s="19" t="str">
        <f ca="1" t="shared" si="1"/>
        <v>25 * 76.8 </v>
      </c>
      <c r="E38" s="20">
        <f>IF(25="","0",25)</f>
        <v>25</v>
      </c>
      <c r="F38" s="20" t="str">
        <f ca="1">IF(INDIRECT("J"&amp;ROW())="текущие цены",IF(INDIRECT("G"&amp;ROW())="","0","0"),IF(INDIRECT("G"&amp;ROW())="","76.8","76.8"))</f>
        <v>76.8</v>
      </c>
      <c r="G38" s="20"/>
      <c r="H38" s="20"/>
      <c r="I38" s="20"/>
      <c r="J38" s="20" t="s">
        <v>6</v>
      </c>
      <c r="K38" s="20"/>
      <c r="L38" s="20">
        <v>2</v>
      </c>
      <c r="M38" s="20" t="s">
        <v>20</v>
      </c>
      <c r="N38" s="21">
        <f ca="1">IF(INDIRECT("J"&amp;ROW())="текущие цены",0/1000,1920/1000)</f>
        <v>1.92</v>
      </c>
      <c r="O38" s="7"/>
      <c r="P38" s="7"/>
      <c r="Q38" s="7"/>
      <c r="R38" s="7"/>
      <c r="S38" s="7"/>
    </row>
    <row r="39" spans="1:25" ht="12.75" customHeight="1">
      <c r="A39" s="38" t="s">
        <v>21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2">
        <f>654241.67/1000</f>
        <v>654.24167</v>
      </c>
      <c r="O39" s="7"/>
      <c r="P39" s="7"/>
      <c r="Q39" s="7"/>
      <c r="R39" s="7"/>
      <c r="S39" s="7"/>
      <c r="Y39" s="30"/>
    </row>
    <row r="40" spans="1:25" ht="15" customHeight="1">
      <c r="A40" s="42" t="s">
        <v>22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7"/>
      <c r="P40" s="7"/>
      <c r="Q40" s="7"/>
      <c r="R40" s="7"/>
      <c r="S40" s="7"/>
      <c r="Y40" s="31"/>
    </row>
    <row r="41" spans="1:19" ht="63.75">
      <c r="A41" s="12">
        <v>20</v>
      </c>
      <c r="B41" s="13" t="s">
        <v>52</v>
      </c>
      <c r="C41" s="26" t="s">
        <v>72</v>
      </c>
      <c r="D41" s="14" t="s">
        <v>51</v>
      </c>
      <c r="E41" s="15">
        <f>IF(1="","0",1)</f>
        <v>1</v>
      </c>
      <c r="F41" s="15" t="str">
        <f ca="1">IF(INDIRECT("J"&amp;ROW())="текущие цены",IF(INDIRECT("G"&amp;ROW())="","0","0"),IF(INDIRECT("G"&amp;ROW())="","199000","199000"))</f>
        <v>199000</v>
      </c>
      <c r="G41" s="15"/>
      <c r="H41" s="15"/>
      <c r="I41" s="15"/>
      <c r="J41" s="15" t="s">
        <v>6</v>
      </c>
      <c r="K41" s="15"/>
      <c r="L41" s="15">
        <v>3</v>
      </c>
      <c r="M41" s="15" t="s">
        <v>23</v>
      </c>
      <c r="N41" s="16">
        <v>311.6</v>
      </c>
      <c r="O41" s="7"/>
      <c r="P41" s="7"/>
      <c r="Q41" s="7"/>
      <c r="R41" s="7"/>
      <c r="S41" s="7"/>
    </row>
    <row r="42" spans="1:25" ht="12.75" customHeight="1">
      <c r="A42" s="38" t="s">
        <v>24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2">
        <f>1221472/1000</f>
        <v>1221.472</v>
      </c>
      <c r="O42" s="7"/>
      <c r="P42" s="7"/>
      <c r="Q42" s="7"/>
      <c r="R42" s="7"/>
      <c r="S42" s="7"/>
      <c r="Y42" s="30"/>
    </row>
    <row r="43" spans="1:25" ht="15" customHeight="1">
      <c r="A43" s="42" t="s">
        <v>25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7"/>
      <c r="P43" s="7"/>
      <c r="Q43" s="7"/>
      <c r="R43" s="7"/>
      <c r="S43" s="7"/>
      <c r="Y43" s="31"/>
    </row>
    <row r="44" spans="1:19" ht="38.25">
      <c r="A44" s="17">
        <v>21</v>
      </c>
      <c r="B44" s="18" t="s">
        <v>53</v>
      </c>
      <c r="C44" s="27" t="s">
        <v>26</v>
      </c>
      <c r="D44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118843.36 </v>
      </c>
      <c r="E44" s="20">
        <f>IF(1="","0",1)</f>
        <v>1</v>
      </c>
      <c r="F44" s="20" t="str">
        <f ca="1">IF(INDIRECT("J"&amp;ROW())="текущие цены",IF(INDIRECT("G"&amp;ROW())="","0","0"),IF(INDIRECT("G"&amp;ROW())="","118843.36","118843.36"))</f>
        <v>118843.36</v>
      </c>
      <c r="G44" s="20"/>
      <c r="H44" s="20"/>
      <c r="I44" s="20"/>
      <c r="J44" s="20" t="s">
        <v>6</v>
      </c>
      <c r="K44" s="20"/>
      <c r="L44" s="20">
        <v>4</v>
      </c>
      <c r="M44" s="20" t="s">
        <v>27</v>
      </c>
      <c r="N44" s="21">
        <f ca="1">IF(INDIRECT("J"&amp;ROW())="текущие цены",0/1000,118843.36/1000)</f>
        <v>118.84336</v>
      </c>
      <c r="O44" s="7"/>
      <c r="P44" s="7"/>
      <c r="Q44" s="7"/>
      <c r="R44" s="7"/>
      <c r="S44" s="7"/>
    </row>
    <row r="45" spans="1:25" ht="12.75" customHeight="1">
      <c r="A45" s="38" t="s">
        <v>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22">
        <f>465865.97/1000</f>
        <v>465.86596999999995</v>
      </c>
      <c r="O45" s="7"/>
      <c r="P45" s="7"/>
      <c r="Q45" s="7"/>
      <c r="R45" s="7"/>
      <c r="S45" s="7"/>
      <c r="Y45" s="30"/>
    </row>
    <row r="46" spans="1:25" ht="12.75" customHeight="1">
      <c r="A46" s="51" t="s">
        <v>76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24">
        <f>554167.01/1000</f>
        <v>554.16701</v>
      </c>
      <c r="O46" s="7"/>
      <c r="P46" s="7"/>
      <c r="Q46" s="7"/>
      <c r="R46" s="7"/>
      <c r="S46" s="7"/>
      <c r="Y46" s="29"/>
    </row>
    <row r="47" spans="1:25" ht="12.75" customHeight="1" outlineLevel="1">
      <c r="A47" s="53" t="s">
        <v>29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5"/>
      <c r="O47" s="7"/>
      <c r="P47" s="7"/>
      <c r="Q47" s="7"/>
      <c r="R47" s="7"/>
      <c r="S47" s="7"/>
      <c r="Y47" s="30"/>
    </row>
    <row r="48" spans="1:25" ht="12.75" outlineLevel="1">
      <c r="A48" s="51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24">
        <f>428454.85/1000</f>
        <v>428.45484999999996</v>
      </c>
      <c r="O48" s="7"/>
      <c r="P48" s="7"/>
      <c r="Q48" s="7"/>
      <c r="R48" s="7"/>
      <c r="S48" s="7"/>
      <c r="Y48" s="29"/>
    </row>
    <row r="49" spans="1:25" ht="12.75" outlineLevel="1">
      <c r="A49" s="51" t="s">
        <v>74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4">
        <f>654241.67/1000</f>
        <v>654.24167</v>
      </c>
      <c r="O49" s="7"/>
      <c r="P49" s="7"/>
      <c r="Q49" s="7"/>
      <c r="R49" s="7"/>
      <c r="S49" s="7"/>
      <c r="Y49" s="29"/>
    </row>
    <row r="50" spans="1:25" ht="12.75" outlineLevel="1">
      <c r="A50" s="51" t="s">
        <v>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24">
        <f>1687337.97/1000</f>
        <v>1687.33797</v>
      </c>
      <c r="O50" s="7"/>
      <c r="P50" s="7"/>
      <c r="Q50" s="7"/>
      <c r="R50" s="7"/>
      <c r="S50" s="7"/>
      <c r="Y50" s="29"/>
    </row>
    <row r="51" spans="1:25" ht="12.75" customHeight="1" outlineLevel="1">
      <c r="A51" s="51" t="s">
        <v>30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4">
        <f>498606.21/1000</f>
        <v>498.60621000000003</v>
      </c>
      <c r="O51" s="7"/>
      <c r="P51" s="7"/>
      <c r="Q51" s="7"/>
      <c r="R51" s="7"/>
      <c r="S51" s="7"/>
      <c r="Y51" s="29"/>
    </row>
    <row r="52" spans="1:25" ht="12.75" customHeight="1">
      <c r="A52" s="53" t="s">
        <v>31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32">
        <f>3268640.7/1000</f>
        <v>3268.6407000000004</v>
      </c>
      <c r="O52" s="7"/>
      <c r="P52" s="7"/>
      <c r="Q52" s="7"/>
      <c r="R52" s="7"/>
      <c r="S52" s="7"/>
      <c r="Y52" s="30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"/>
      <c r="P53" s="8"/>
      <c r="Q53" s="8"/>
      <c r="R53" s="8"/>
      <c r="S53" s="8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25" ht="15">
      <c r="A55" s="60" t="s">
        <v>77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33"/>
      <c r="O55" s="33"/>
      <c r="P55" s="33"/>
      <c r="Q55" s="33"/>
      <c r="R55" s="34"/>
      <c r="S55" s="34"/>
      <c r="T55" s="34"/>
      <c r="U55" s="34"/>
      <c r="V55" s="34"/>
      <c r="W55" s="34"/>
      <c r="X55" s="34"/>
      <c r="Y55" s="34"/>
    </row>
    <row r="56" spans="1:25" ht="15">
      <c r="A56" s="58" t="s">
        <v>78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33"/>
      <c r="O56" s="33"/>
      <c r="P56" s="33"/>
      <c r="Q56" s="33"/>
      <c r="R56" s="34"/>
      <c r="S56" s="34"/>
      <c r="T56" s="34"/>
      <c r="U56" s="34"/>
      <c r="V56" s="34"/>
      <c r="W56" s="34"/>
      <c r="X56" s="34"/>
      <c r="Y56" s="34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12.75"/>
    <row r="60" spans="1:14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ht="12.75"/>
  </sheetData>
  <sheetProtection/>
  <mergeCells count="28">
    <mergeCell ref="A60:N60"/>
    <mergeCell ref="A8:N8"/>
    <mergeCell ref="A9:N9"/>
    <mergeCell ref="A15:N15"/>
    <mergeCell ref="A21:M21"/>
    <mergeCell ref="A56:M56"/>
    <mergeCell ref="A55:M55"/>
    <mergeCell ref="A11:N11"/>
    <mergeCell ref="A39:M39"/>
    <mergeCell ref="A40:N40"/>
    <mergeCell ref="A50:M50"/>
    <mergeCell ref="A51:M51"/>
    <mergeCell ref="A52:M52"/>
    <mergeCell ref="A43:N43"/>
    <mergeCell ref="A45:M45"/>
    <mergeCell ref="A46:M46"/>
    <mergeCell ref="A47:M47"/>
    <mergeCell ref="A48:M48"/>
    <mergeCell ref="A49:M49"/>
    <mergeCell ref="A42:M42"/>
    <mergeCell ref="A1:N1"/>
    <mergeCell ref="A2:N2"/>
    <mergeCell ref="A22:N22"/>
    <mergeCell ref="A23:N23"/>
    <mergeCell ref="A31:N31"/>
    <mergeCell ref="A3:N3"/>
    <mergeCell ref="A4:N4"/>
    <mergeCell ref="A5:N5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96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m.faleyeva</cp:lastModifiedBy>
  <cp:lastPrinted>2016-07-06T06:04:16Z</cp:lastPrinted>
  <dcterms:created xsi:type="dcterms:W3CDTF">2007-02-21T08:42:24Z</dcterms:created>
  <dcterms:modified xsi:type="dcterms:W3CDTF">2016-07-08T05:22:05Z</dcterms:modified>
  <cp:category/>
  <cp:version/>
  <cp:contentType/>
  <cp:contentStatus/>
</cp:coreProperties>
</file>