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данные'!$14:$14</definedName>
    <definedName name="_xlnm.Print_Area" localSheetId="0">'Мои данные'!$A$1:$L$87</definedName>
  </definedNames>
  <calcPr fullCalcOnLoad="1"/>
</workbook>
</file>

<file path=xl/comments1.xml><?xml version="1.0" encoding="utf-8"?>
<comments xmlns="http://schemas.openxmlformats.org/spreadsheetml/2006/main">
  <authors>
    <author>Alex</author>
    <author>Сергей</author>
    <author>Alex Sosedko</author>
  </authors>
  <commentList>
    <comment ref="C88" authorId="0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4" authorId="1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4" authorId="1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4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A75" authorId="1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75" authorId="1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4" authorId="1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4" authorId="1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4" authorId="1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4" authorId="1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4" authorId="0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4" authorId="1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4" authorId="1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4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90" authorId="0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4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  <comment ref="A85" authorId="1">
      <text>
        <r>
          <rPr>
            <sz val="8"/>
            <rFont val="Tahoma"/>
            <family val="2"/>
          </rPr>
          <t xml:space="preserve"> &lt;подпись 360 значение&gt;</t>
        </r>
      </text>
    </comment>
    <comment ref="A8" authorId="1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A11" authorId="1">
      <text>
        <r>
          <rPr>
            <sz val="8"/>
            <rFont val="Tahoma"/>
            <family val="2"/>
          </rPr>
          <t xml:space="preserve"> &lt;Наименование стройки&gt;, &lt;Наименование объекта&gt;, &lt;Наименование локальной сметы&gt;</t>
        </r>
      </text>
    </comment>
  </commentList>
</comments>
</file>

<file path=xl/sharedStrings.xml><?xml version="1.0" encoding="utf-8"?>
<sst xmlns="http://schemas.openxmlformats.org/spreadsheetml/2006/main" count="133" uniqueCount="99">
  <si>
    <t>№ пп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</si>
  <si>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</si>
  <si>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</si>
  <si>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</si>
  <si>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Инженерно-геодезические изыскания трасс магистральных трубопроводов: 2 категории сложности - полевые работы</t>
  </si>
  <si>
    <t>цены 2001</t>
  </si>
  <si>
    <t>Инженерно-геодезические изыскания трасс магистральных трубопроводов: 2 категории сложности - камеральные работы</t>
  </si>
  <si>
    <t>Создание инженерно-топографического плана на территории действующих промышленных предприятий, масштаб съемки 1:500, высота сечения рельефа 0,25 м: 1 категории сложности - полевые работы</t>
  </si>
  <si>
    <t>Создание инженерно-топографического плана на территории действующих промышленных предприятий, масштаб съемки 1:500, высота сечения рельефа 0,25 м: 1 категории сложности - камеральные работы</t>
  </si>
  <si>
    <t>Расходы по внутреннему транспорту при расстоянии от базы до участка изысканий до 5 км, при сметной ст-ти полевых изыск. работ 75-150 тыс. руб.</t>
  </si>
  <si>
    <t>УБЦ2 табл.4 п.1.</t>
  </si>
  <si>
    <t>7,5%</t>
  </si>
  <si>
    <t>Итоги по разделу 1 Инженерно-геодезические работы :</t>
  </si>
  <si>
    <t xml:space="preserve">  Инженерно-геодезические изыскания (2004)</t>
  </si>
  <si>
    <t xml:space="preserve">  Итого</t>
  </si>
  <si>
    <t xml:space="preserve">  Итого по разделу 1 Инженерно-геодезические работы</t>
  </si>
  <si>
    <t xml:space="preserve">                                   Полевые работы</t>
  </si>
  <si>
    <t>Инженерно-геологическая, гидрогеологическая рекогносцировка при проходимости удовлетворительной: 2 категория сложности, полевые работы</t>
  </si>
  <si>
    <t>Колонковое бурение скважины диаметром до 160мм, глубиной до 15м: категория породы 3</t>
  </si>
  <si>
    <t>Гидрогеологические наблюдения при бурении скважины диаметром до 160мм глубиной до 15м</t>
  </si>
  <si>
    <t>Экспресс-налив воды в шурф</t>
  </si>
  <si>
    <t>Отбор монолитов из буровых скважин (связные грунты) с глубины до 10м</t>
  </si>
  <si>
    <t>Отбор монолитов из буровых скважин (связные грунты) с глубины св. 10 до 20м</t>
  </si>
  <si>
    <t>Расходы по внешнему транспорту в обоих направлениях изысканий, выполняемых в экспедиционных условиях, расстояние проезда и перевозки в одном направлении св. 25 до 100 км: % сметной стоимости изысканий продолжительностью до 1 мес. - 14,0</t>
  </si>
  <si>
    <t xml:space="preserve">                                   Лабораторные работы</t>
  </si>
  <si>
    <t>Исследование консистенции при нарушенной структуре глинистых грунтов</t>
  </si>
  <si>
    <t>Полный комплекс определений для глинистых грунтов с включениями частиц диаметром более 1мм (менее 10%)</t>
  </si>
  <si>
    <t>Полный комплекс физико-механических свойств глинистого грунта с определением сопротивления грунта срезу (консолидированный срез) под нагрузкой до 0,6МПа</t>
  </si>
  <si>
    <t>Единичные определения химического состава грунтов (почв): приготовление водной вытяжки</t>
  </si>
  <si>
    <t>Анализ водной вытяжки с определением по разности суммы натрия и калия</t>
  </si>
  <si>
    <t>Единичные определения химического состава грунтов (почв): определение солей тяжелых металлов без пробоподготовки методом атомной абсорбции (1 металл)</t>
  </si>
  <si>
    <t>Единичные определения химического состава грунтов (почв): определение 25 химических элементов без пробоподготовки методом спектрального анализа</t>
  </si>
  <si>
    <t>Итоги по разделу 2 Инженерно-геологические и экологические работы :</t>
  </si>
  <si>
    <t xml:space="preserve">  Инженерно-геологические и инженерно-экологические изыскания для строительства (1999)</t>
  </si>
  <si>
    <t xml:space="preserve">  Итого по разделу 2 Инженерно-геологические и экологические работы</t>
  </si>
  <si>
    <t>Городской водопровод, сооружаемый открытым способом диаметром до 315 мм, протяженность св. 5000 м</t>
  </si>
  <si>
    <t>Канализация (бытовая, дождевая, общесплавная), сооружаемая открытым способом, диаметр от 300 до 500 мм, протяженность св. 1000 до 5000 м</t>
  </si>
  <si>
    <t>Итоги по разделу 3 Проектные работы :</t>
  </si>
  <si>
    <t xml:space="preserve">  Проектные работы: Городские инженерные сооружения и коммуникации (2008)</t>
  </si>
  <si>
    <t xml:space="preserve">  Итого по разделу 3 Проектные работы</t>
  </si>
  <si>
    <t>Расчет стоимости экспертизы проектной документации (27,3%)</t>
  </si>
  <si>
    <t>ПП РФ  № 821 от 07.11.2008, № 840 от  23.09.2013, № 219 от 22.03.2014</t>
  </si>
  <si>
    <t>Итоги по разделу 4 Экспертиза проекта :</t>
  </si>
  <si>
    <t xml:space="preserve">  Итого по разделу 4 Экспертиза проекта</t>
  </si>
  <si>
    <t>Проект планировки и межевания территорий при площади проектируемой территории: свыше 0,5 до 5 га</t>
  </si>
  <si>
    <t>Итоги по разделу 5 Проект планировки и межевания территорий :</t>
  </si>
  <si>
    <t xml:space="preserve">  Проектные работы: Территориальное планирование и планировка территорий (2010)</t>
  </si>
  <si>
    <t xml:space="preserve">  Итого по разделу 5 Проект планировки и межевания территорий</t>
  </si>
  <si>
    <t>Итоги по смете:</t>
  </si>
  <si>
    <t xml:space="preserve">  НДС 18%</t>
  </si>
  <si>
    <t xml:space="preserve">  ВСЕГО по смете</t>
  </si>
  <si>
    <t xml:space="preserve">                            Инженерно-геодезические работы</t>
  </si>
  <si>
    <t xml:space="preserve">  Всего с учетом Перевод в текущие цены на 1 мая 2016 г. (Инф. сб. УЦИС КО № 2 (142) Проектные 3,92</t>
  </si>
  <si>
    <t xml:space="preserve">                            Инженерно-геологические и экологические работы</t>
  </si>
  <si>
    <t xml:space="preserve">  Всего с учетом Перевод в текущие цены на 1 мая 2016 г. (Инф. сб. УЦИС КО № 2 (142) Изыскания 44,5</t>
  </si>
  <si>
    <t xml:space="preserve">                            Проектные работы</t>
  </si>
  <si>
    <t>199000*1+20*5630</t>
  </si>
  <si>
    <t>148040*1+120*5280</t>
  </si>
  <si>
    <t xml:space="preserve">  Всего с учетом Перевод в текущие цены на 1 мая 2016 г. (Инф. сб. УЦИС КО № 2 (142) Изыскания 3,93</t>
  </si>
  <si>
    <t xml:space="preserve">                            Экспертиза проекта</t>
  </si>
  <si>
    <t xml:space="preserve">                            Проект планировки и межевания территорий</t>
  </si>
  <si>
    <t>55880*1+189640*0,5</t>
  </si>
  <si>
    <r>
      <t xml:space="preserve">УБЦ2-13-1-2-1
</t>
    </r>
    <r>
      <rPr>
        <i/>
        <sz val="11"/>
        <rFont val="Arial"/>
        <family val="2"/>
      </rPr>
      <t>"Инж.-геодез. изыск.(2004 г.)"</t>
    </r>
  </si>
  <si>
    <r>
      <t xml:space="preserve">УБЦ2-13-1-2-2
</t>
    </r>
    <r>
      <rPr>
        <i/>
        <sz val="11"/>
        <rFont val="Arial"/>
        <family val="2"/>
      </rPr>
      <t>"Инж.-геодез. изыск.(2004 г.)"</t>
    </r>
  </si>
  <si>
    <r>
      <t xml:space="preserve">УБЦ2-9-1-3-1
</t>
    </r>
    <r>
      <rPr>
        <i/>
        <sz val="11"/>
        <rFont val="Arial"/>
        <family val="2"/>
      </rPr>
      <t>"Инж.-геодез. изыск.(2004 г.)"</t>
    </r>
  </si>
  <si>
    <r>
      <t xml:space="preserve">УБЦ2-9-1-3-2
</t>
    </r>
    <r>
      <rPr>
        <i/>
        <sz val="11"/>
        <rFont val="Arial"/>
        <family val="2"/>
      </rPr>
      <t>"Инж.-геодез. изыск.(2004 г.)"</t>
    </r>
  </si>
  <si>
    <r>
      <t xml:space="preserve">СБЦИ3-9-2-2-1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</si>
  <si>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СБЦИ3-17-1-3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</si>
  <si>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СБЦИ3-18-1-1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</si>
  <si>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СБЦИ3-36-3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</si>
  <si>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СБЦИ3-57-1-1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</si>
  <si>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СБЦИ3-57-2-1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</si>
  <si>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СБЦИ3-5-1-1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</si>
  <si>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СБЦИ3-63-3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</si>
  <si>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СБЦИ3-63-9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</si>
  <si>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СБЦИ3-63-25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</si>
  <si>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СБЦИ3-70-83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</si>
  <si>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</si>
  <si>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СБЦИ3-70-57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</si>
  <si>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СБЦИ3-70-61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</si>
  <si>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СБЦ65-6-4
</t>
    </r>
    <r>
      <rPr>
        <i/>
        <sz val="11"/>
        <rFont val="Arial"/>
        <family val="2"/>
      </rPr>
      <t xml:space="preserve"> Городские инж. сооружения и коммуникации (2008г.)</t>
    </r>
  </si>
  <si>
    <r>
      <t xml:space="preserve">СБЦ65-7-4
</t>
    </r>
    <r>
      <rPr>
        <i/>
        <sz val="11"/>
        <rFont val="Arial"/>
        <family val="2"/>
      </rPr>
      <t xml:space="preserve"> Городские инж. сооружения и коммуникации (2008г.)</t>
    </r>
  </si>
  <si>
    <r>
      <t xml:space="preserve">СБЦП01-3-1
</t>
    </r>
    <r>
      <rPr>
        <i/>
        <sz val="11"/>
        <rFont val="Arial"/>
        <family val="2"/>
      </rPr>
      <t xml:space="preserve"> "Территориальное планирование и планировка территорий (2010г.)"</t>
    </r>
  </si>
  <si>
    <t xml:space="preserve">  Итого Перевод в текущие цены на 1 мая 2016 г. (Инф. сб. УЦИС КО № 2 (142) Проектные 3,92</t>
  </si>
  <si>
    <t xml:space="preserve">  Итого Перевод в текущие цены на 1 мая 2016 г. (Инф. сб. УЦИС КО № 2 (142) Изыскания 44,5</t>
  </si>
  <si>
    <t xml:space="preserve">  Итого Перевод в текущие цены на 1 мая 2016 г. (Инф. сб. УЦИС КО № 2 (142) Изыскания 3,93</t>
  </si>
  <si>
    <t>Итого затраты по разделу</t>
  </si>
  <si>
    <t>Итого затраты по смете</t>
  </si>
  <si>
    <t>УТВЕРЖДАЮ:</t>
  </si>
  <si>
    <t>_______________А.В. Грошев</t>
  </si>
  <si>
    <t>Стоимость работ  тыс.руб</t>
  </si>
  <si>
    <t>Составил: ___________________________Е.А. Миронова</t>
  </si>
  <si>
    <t>(должность, подпись, расшифровка)</t>
  </si>
  <si>
    <t>Приложение № 1 к закупочной документации</t>
  </si>
  <si>
    <t>И.о. генерального директора</t>
  </si>
  <si>
    <t>ГП "Калугаоблводоканал"</t>
  </si>
  <si>
    <t xml:space="preserve">СМЕТА  </t>
  </si>
  <si>
    <t>на проектно-изыскательские  работы</t>
  </si>
  <si>
    <t>Выполнение проектно-изыскательских работ по объекту:  «Реконструкция существующих сетей водоснабжения (инвентарные номера 24063, 24065) от водопроводной камеры станции 2-го подъема Окского водозабора до д. Шопино, строительство сетей водоснабжения д. Желыбино и  сетей водоснабжения  с. Шахты – д. Воровая, МО «Город Калуга»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</si>
</sst>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0"/>
      <name val="Arial Cyr"/>
      <family val="0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3" fillId="32" borderId="0" applyNumberFormat="0" applyBorder="0" applyAlignment="0" applyProtection="0"/>
    <xf numFmtId="0" fontId="5" fillId="0" borderId="0">
      <alignment/>
      <protection/>
    </xf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78" applyFont="1" applyBorder="1">
      <alignment horizontal="center"/>
      <protection/>
    </xf>
    <xf numFmtId="0" fontId="7" fillId="0" borderId="0" xfId="78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81" applyFont="1">
      <alignment horizontal="left" vertical="top"/>
      <protection/>
    </xf>
    <xf numFmtId="0" fontId="7" fillId="0" borderId="11" xfId="6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9" fontId="7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7" fillId="0" borderId="1" xfId="53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5" fillId="0" borderId="0" xfId="0" applyFont="1" applyAlignment="1">
      <alignment horizontal="left" vertical="top"/>
    </xf>
    <xf numFmtId="0" fontId="15" fillId="0" borderId="0" xfId="78" applyFont="1" applyBorder="1" applyAlignment="1">
      <alignment horizontal="left" vertical="top" wrapText="1"/>
      <protection/>
    </xf>
    <xf numFmtId="0" fontId="15" fillId="0" borderId="0" xfId="0" applyFont="1" applyAlignment="1">
      <alignment/>
    </xf>
    <xf numFmtId="0" fontId="10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16" fillId="0" borderId="0" xfId="78" applyFont="1" applyBorder="1" applyAlignment="1">
      <alignment vertical="top" wrapText="1"/>
      <protection/>
    </xf>
    <xf numFmtId="165" fontId="7" fillId="0" borderId="1" xfId="53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78" applyFont="1" applyAlignment="1">
      <alignment/>
      <protection/>
    </xf>
    <xf numFmtId="0" fontId="15" fillId="0" borderId="0" xfId="0" applyFont="1" applyAlignment="1">
      <alignment/>
    </xf>
    <xf numFmtId="0" fontId="16" fillId="0" borderId="0" xfId="78" applyNumberFormat="1" applyFont="1" applyBorder="1" applyAlignment="1">
      <alignment horizontal="center" vertical="top" wrapText="1"/>
      <protection/>
    </xf>
    <xf numFmtId="49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7" fillId="0" borderId="1" xfId="53" applyFont="1" applyBorder="1" applyAlignment="1">
      <alignment horizontal="lef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49" fontId="9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0" xfId="78" applyFont="1" applyBorder="1" applyAlignment="1">
      <alignment horizontal="left" vertical="top" wrapText="1"/>
      <protection/>
    </xf>
    <xf numFmtId="0" fontId="15" fillId="0" borderId="0" xfId="78" applyFont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8" fillId="0" borderId="0" xfId="78" applyFont="1" applyAlignment="1">
      <alignment horizontal="center"/>
      <protection/>
    </xf>
    <xf numFmtId="0" fontId="15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БазЦ" xfId="57"/>
    <cellStyle name="ИтогоБИМ" xfId="58"/>
    <cellStyle name="ИтогоРесМет" xfId="59"/>
    <cellStyle name="Контрольная ячейка" xfId="60"/>
    <cellStyle name="ЛокСмета" xfId="61"/>
    <cellStyle name="ЛокСмМТСН" xfId="62"/>
    <cellStyle name="М29" xfId="63"/>
    <cellStyle name="Название" xfId="64"/>
    <cellStyle name="Нейтральный" xfId="65"/>
    <cellStyle name="ОбСмета" xfId="66"/>
    <cellStyle name="Параметр" xfId="67"/>
    <cellStyle name="ПеременныеСметы" xfId="68"/>
    <cellStyle name="Плохой" xfId="69"/>
    <cellStyle name="Пояснение" xfId="70"/>
    <cellStyle name="Примечание" xfId="71"/>
    <cellStyle name="Percent" xfId="72"/>
    <cellStyle name="РесСмета" xfId="73"/>
    <cellStyle name="СводкаСтоимРаб" xfId="74"/>
    <cellStyle name="СводРасч" xfId="75"/>
    <cellStyle name="Связанная ячейка" xfId="76"/>
    <cellStyle name="Текст предупреждения" xfId="77"/>
    <cellStyle name="Титул" xfId="78"/>
    <cellStyle name="Comma" xfId="79"/>
    <cellStyle name="Comma [0]" xfId="80"/>
    <cellStyle name="Хвост" xfId="81"/>
    <cellStyle name="Хороший" xfId="82"/>
    <cellStyle name="Экспертиз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showGridLines="0" tabSelected="1" view="pageBreakPreview" zoomScaleSheetLayoutView="100" zoomScalePageLayoutView="0" workbookViewId="0" topLeftCell="A1">
      <selection activeCell="R11" sqref="R11"/>
    </sheetView>
  </sheetViews>
  <sheetFormatPr defaultColWidth="9.00390625" defaultRowHeight="12.75"/>
  <cols>
    <col min="1" max="1" width="5.875" style="1" customWidth="1"/>
    <col min="2" max="2" width="41.25390625" style="1" customWidth="1"/>
    <col min="3" max="3" width="32.875" style="1" customWidth="1"/>
    <col min="4" max="4" width="13.75390625" style="1" customWidth="1"/>
    <col min="5" max="10" width="22.125" style="1" hidden="1" customWidth="1"/>
    <col min="11" max="11" width="73.75390625" style="1" hidden="1" customWidth="1"/>
    <col min="12" max="12" width="13.875" style="1" customWidth="1"/>
    <col min="13" max="15" width="9.125" style="1" customWidth="1"/>
    <col min="16" max="16384" width="9.125" style="1" customWidth="1"/>
  </cols>
  <sheetData>
    <row r="1" spans="1:25" s="29" customFormat="1" ht="16.5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Y1" s="30"/>
    </row>
    <row r="2" spans="1:25" s="29" customFormat="1" ht="15" customHeight="1">
      <c r="A2" s="67" t="s">
        <v>88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39"/>
      <c r="N2" s="39"/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</row>
    <row r="3" spans="1:25" s="29" customFormat="1" ht="13.5" customHeight="1">
      <c r="A3" s="65" t="s">
        <v>94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7"/>
      <c r="N3" s="37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</row>
    <row r="4" spans="1:25" s="29" customFormat="1" ht="13.5" customHeight="1">
      <c r="A4" s="65" t="s">
        <v>95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37"/>
      <c r="N4" s="37"/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</row>
    <row r="5" spans="1:25" s="29" customFormat="1" ht="33" customHeight="1">
      <c r="A5" s="66" t="s">
        <v>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38"/>
      <c r="N5" s="38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</row>
    <row r="6" spans="1:25" s="29" customFormat="1" ht="15" customHeight="1">
      <c r="A6" s="31"/>
      <c r="B6" s="31"/>
      <c r="C6" s="31"/>
      <c r="D6" s="33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2"/>
    </row>
    <row r="7" spans="1:25" s="43" customFormat="1" ht="12.75">
      <c r="A7" s="34"/>
      <c r="B7" s="34"/>
      <c r="C7" s="34"/>
      <c r="D7" s="34"/>
      <c r="Y7" s="44"/>
    </row>
    <row r="8" spans="1:25" s="43" customFormat="1" ht="15.75">
      <c r="A8" s="68" t="s">
        <v>96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45"/>
      <c r="N8" s="45"/>
      <c r="Y8" s="44"/>
    </row>
    <row r="9" spans="1:25" s="43" customFormat="1" ht="12.75">
      <c r="A9" s="69" t="s">
        <v>97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46"/>
      <c r="N9" s="46"/>
      <c r="Y9" s="44"/>
    </row>
    <row r="10" spans="1:25" s="43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Y10" s="44"/>
    </row>
    <row r="11" spans="1:25" s="43" customFormat="1" ht="60.75" customHeight="1">
      <c r="A11" s="47" t="s">
        <v>98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1"/>
      <c r="N11" s="41"/>
      <c r="Y11" s="36"/>
    </row>
    <row r="12" spans="1:12" ht="12.75" customHeight="1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1:12" s="6" customFormat="1" ht="121.5" customHeight="1">
      <c r="A13" s="5" t="s">
        <v>0</v>
      </c>
      <c r="B13" s="5" t="s">
        <v>1</v>
      </c>
      <c r="C13" s="5" t="s">
        <v>2</v>
      </c>
      <c r="D13" s="5" t="s">
        <v>3</v>
      </c>
      <c r="E13" s="5"/>
      <c r="F13" s="5"/>
      <c r="G13" s="5"/>
      <c r="H13" s="5"/>
      <c r="I13" s="5"/>
      <c r="J13" s="5"/>
      <c r="K13" s="5"/>
      <c r="L13" s="5" t="s">
        <v>90</v>
      </c>
    </row>
    <row r="14" spans="1:12" ht="15">
      <c r="A14" s="11">
        <v>1</v>
      </c>
      <c r="B14" s="11">
        <v>2</v>
      </c>
      <c r="C14" s="11">
        <v>3</v>
      </c>
      <c r="D14" s="11">
        <v>4</v>
      </c>
      <c r="E14" s="11"/>
      <c r="F14" s="11"/>
      <c r="G14" s="11"/>
      <c r="H14" s="11"/>
      <c r="I14" s="11"/>
      <c r="J14" s="11"/>
      <c r="K14" s="11"/>
      <c r="L14" s="11">
        <v>5</v>
      </c>
    </row>
    <row r="15" spans="1:12" s="7" customFormat="1" ht="22.5" customHeight="1">
      <c r="A15" s="52" t="s">
        <v>51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7" s="9" customFormat="1" ht="60">
      <c r="A16" s="12">
        <v>1</v>
      </c>
      <c r="B16" s="13" t="s">
        <v>4</v>
      </c>
      <c r="C16" s="13" t="s">
        <v>62</v>
      </c>
      <c r="D16" s="14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5,63 * 12076 </v>
      </c>
      <c r="E16" s="15">
        <v>5.63</v>
      </c>
      <c r="F16" s="15" t="str">
        <f ca="1">IF(INDIRECT("J"&amp;ROW())="текущие цены",IF(INDIRECT("G"&amp;ROW())="","0","0"),IF(INDIRECT("G"&amp;ROW())="","12076","12076"))</f>
        <v>12076</v>
      </c>
      <c r="G16" s="15"/>
      <c r="H16" s="15"/>
      <c r="I16" s="15"/>
      <c r="J16" s="15" t="s">
        <v>5</v>
      </c>
      <c r="K16" s="15"/>
      <c r="L16" s="16">
        <f ca="1">IF(INDIRECT("J"&amp;ROW())="текущие цены",0/1000,67987.88/1000)</f>
        <v>67.98788</v>
      </c>
      <c r="M16" s="7"/>
      <c r="N16" s="7"/>
      <c r="O16" s="7"/>
      <c r="P16" s="7"/>
      <c r="Q16" s="7"/>
    </row>
    <row r="17" spans="1:17" ht="60">
      <c r="A17" s="12">
        <v>2</v>
      </c>
      <c r="B17" s="13" t="s">
        <v>6</v>
      </c>
      <c r="C17" s="13" t="s">
        <v>63</v>
      </c>
      <c r="D17" s="14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5,63 * 5327 </v>
      </c>
      <c r="E17" s="15">
        <v>5.63</v>
      </c>
      <c r="F17" s="15" t="str">
        <f ca="1">IF(INDIRECT("J"&amp;ROW())="текущие цены",IF(INDIRECT("G"&amp;ROW())="","0","0"),IF(INDIRECT("G"&amp;ROW())="","5327","5327"))</f>
        <v>5327</v>
      </c>
      <c r="G17" s="15"/>
      <c r="H17" s="15"/>
      <c r="I17" s="15"/>
      <c r="J17" s="15" t="s">
        <v>5</v>
      </c>
      <c r="K17" s="15"/>
      <c r="L17" s="16">
        <f ca="1">IF(INDIRECT("J"&amp;ROW())="текущие цены",0/1000,29991.01/1000)</f>
        <v>29.99101</v>
      </c>
      <c r="M17" s="7"/>
      <c r="N17" s="7"/>
      <c r="O17" s="7"/>
      <c r="P17" s="7"/>
      <c r="Q17" s="7"/>
    </row>
    <row r="18" spans="1:17" ht="90">
      <c r="A18" s="12">
        <v>3</v>
      </c>
      <c r="B18" s="13" t="s">
        <v>7</v>
      </c>
      <c r="C18" s="13" t="s">
        <v>64</v>
      </c>
      <c r="D18" s="14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 * 3352 </v>
      </c>
      <c r="E18" s="15">
        <v>2</v>
      </c>
      <c r="F18" s="15" t="str">
        <f ca="1">IF(INDIRECT("J"&amp;ROW())="текущие цены",IF(INDIRECT("G"&amp;ROW())="","0","0"),IF(INDIRECT("G"&amp;ROW())="","3352","3352"))</f>
        <v>3352</v>
      </c>
      <c r="G18" s="15"/>
      <c r="H18" s="15"/>
      <c r="I18" s="15"/>
      <c r="J18" s="15" t="s">
        <v>5</v>
      </c>
      <c r="K18" s="15"/>
      <c r="L18" s="16">
        <f ca="1">IF(INDIRECT("J"&amp;ROW())="текущие цены",0/1000,6704/1000)</f>
        <v>6.704</v>
      </c>
      <c r="M18" s="7"/>
      <c r="N18" s="7"/>
      <c r="O18" s="7"/>
      <c r="P18" s="7"/>
      <c r="Q18" s="7"/>
    </row>
    <row r="19" spans="1:17" ht="90">
      <c r="A19" s="12">
        <v>4</v>
      </c>
      <c r="B19" s="13" t="s">
        <v>8</v>
      </c>
      <c r="C19" s="13" t="s">
        <v>65</v>
      </c>
      <c r="D19" s="14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 * 1436 </v>
      </c>
      <c r="E19" s="15">
        <v>2</v>
      </c>
      <c r="F19" s="15" t="str">
        <f ca="1">IF(INDIRECT("J"&amp;ROW())="текущие цены",IF(INDIRECT("G"&amp;ROW())="","0","0"),IF(INDIRECT("G"&amp;ROW())="","1436","1436"))</f>
        <v>1436</v>
      </c>
      <c r="G19" s="15"/>
      <c r="H19" s="15"/>
      <c r="I19" s="15"/>
      <c r="J19" s="15" t="s">
        <v>5</v>
      </c>
      <c r="K19" s="15"/>
      <c r="L19" s="16">
        <f ca="1">IF(INDIRECT("J"&amp;ROW())="текущие цены",0/1000,2872/1000)</f>
        <v>2.872</v>
      </c>
      <c r="M19" s="7"/>
      <c r="N19" s="7"/>
      <c r="O19" s="7"/>
      <c r="P19" s="7"/>
      <c r="Q19" s="7"/>
    </row>
    <row r="20" spans="1:17" ht="75">
      <c r="A20" s="17">
        <v>5</v>
      </c>
      <c r="B20" s="18" t="s">
        <v>9</v>
      </c>
      <c r="C20" s="18" t="s">
        <v>10</v>
      </c>
      <c r="D20" s="19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(7,5%) * 19556 </v>
      </c>
      <c r="E20" s="20">
        <v>0.075</v>
      </c>
      <c r="F20" s="20" t="str">
        <f ca="1">IF(INDIRECT("J"&amp;ROW())="текущие цены",IF(INDIRECT("G"&amp;ROW())="","0","0"),IF(INDIRECT("G"&amp;ROW())="","19556","19556"))</f>
        <v>19556</v>
      </c>
      <c r="G20" s="20"/>
      <c r="H20" s="20" t="s">
        <v>11</v>
      </c>
      <c r="I20" s="20"/>
      <c r="J20" s="20" t="s">
        <v>5</v>
      </c>
      <c r="K20" s="20"/>
      <c r="L20" s="21">
        <f ca="1">IF(INDIRECT("J"&amp;ROW())="текущие цены",0/1000,1466.7/1000)</f>
        <v>1.4667000000000001</v>
      </c>
      <c r="M20" s="7"/>
      <c r="N20" s="7"/>
      <c r="O20" s="7"/>
      <c r="P20" s="7"/>
      <c r="Q20" s="7"/>
    </row>
    <row r="21" spans="1:17" ht="15">
      <c r="A21" s="50" t="s">
        <v>86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16">
        <f>109021.59/1000</f>
        <v>109.02159</v>
      </c>
      <c r="M21" s="7"/>
      <c r="N21" s="7"/>
      <c r="O21" s="7"/>
      <c r="P21" s="7"/>
      <c r="Q21" s="7"/>
    </row>
    <row r="22" spans="1:17" ht="15.75">
      <c r="A22" s="48" t="s">
        <v>12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16"/>
      <c r="M22" s="7"/>
      <c r="N22" s="7"/>
      <c r="O22" s="7"/>
      <c r="P22" s="7"/>
      <c r="Q22" s="7"/>
    </row>
    <row r="23" spans="1:17" ht="15">
      <c r="A23" s="50" t="s">
        <v>13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6">
        <f>109021.59/1000</f>
        <v>109.02159</v>
      </c>
      <c r="M23" s="7"/>
      <c r="N23" s="7"/>
      <c r="O23" s="7"/>
      <c r="P23" s="7"/>
      <c r="Q23" s="7"/>
    </row>
    <row r="24" spans="1:17" ht="15">
      <c r="A24" s="50" t="s">
        <v>14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6">
        <f>109021.59/1000</f>
        <v>109.02159</v>
      </c>
      <c r="M24" s="7"/>
      <c r="N24" s="7"/>
      <c r="O24" s="7"/>
      <c r="P24" s="7"/>
      <c r="Q24" s="7"/>
    </row>
    <row r="25" spans="1:17" ht="31.5" customHeight="1">
      <c r="A25" s="50" t="s">
        <v>52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16">
        <f>427364.63/1000</f>
        <v>427.36463</v>
      </c>
      <c r="M25" s="7"/>
      <c r="N25" s="7"/>
      <c r="O25" s="7"/>
      <c r="P25" s="7"/>
      <c r="Q25" s="7"/>
    </row>
    <row r="26" spans="1:17" ht="15" customHeight="1">
      <c r="A26" s="54" t="s">
        <v>15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21">
        <f>427364.63/1000</f>
        <v>427.36463</v>
      </c>
      <c r="M26" s="7"/>
      <c r="N26" s="7"/>
      <c r="O26" s="7"/>
      <c r="P26" s="7"/>
      <c r="Q26" s="7"/>
    </row>
    <row r="27" spans="1:17" ht="16.5">
      <c r="A27" s="52" t="s">
        <v>53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7"/>
      <c r="N27" s="7"/>
      <c r="O27" s="7"/>
      <c r="P27" s="7"/>
      <c r="Q27" s="7"/>
    </row>
    <row r="28" spans="1:17" ht="22.5" customHeight="1">
      <c r="A28" s="61" t="s">
        <v>16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7"/>
      <c r="N28" s="7"/>
      <c r="O28" s="7"/>
      <c r="P28" s="7"/>
      <c r="Q28" s="7"/>
    </row>
    <row r="29" spans="1:17" ht="60">
      <c r="A29" s="12">
        <v>6</v>
      </c>
      <c r="B29" s="13" t="s">
        <v>17</v>
      </c>
      <c r="C29" s="13" t="s">
        <v>66</v>
      </c>
      <c r="D29" s="14" t="str">
        <f aca="true" ca="1" t="shared" si="0" ref="D29:D35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5,63 * 27 </v>
      </c>
      <c r="E29" s="15">
        <v>5.63</v>
      </c>
      <c r="F29" s="15" t="str">
        <f ca="1">IF(INDIRECT("J"&amp;ROW())="текущие цены",IF(INDIRECT("G"&amp;ROW())="","0","0"),IF(INDIRECT("G"&amp;ROW())="","27","27"))</f>
        <v>27</v>
      </c>
      <c r="G29" s="15"/>
      <c r="H29" s="15"/>
      <c r="I29" s="15"/>
      <c r="J29" s="15" t="s">
        <v>5</v>
      </c>
      <c r="K29" s="15"/>
      <c r="L29" s="16">
        <f ca="1">IF(INDIRECT("J"&amp;ROW())="текущие цены",0/1000,152.01/1000)</f>
        <v>0.15200999999999998</v>
      </c>
      <c r="M29" s="7"/>
      <c r="N29" s="7"/>
      <c r="O29" s="7"/>
      <c r="P29" s="7"/>
      <c r="Q29" s="7"/>
    </row>
    <row r="30" spans="1:17" ht="45">
      <c r="A30" s="12">
        <v>7</v>
      </c>
      <c r="B30" s="13" t="s">
        <v>18</v>
      </c>
      <c r="C30" s="13" t="s">
        <v>67</v>
      </c>
      <c r="D30" s="14" t="str">
        <f ca="1" t="shared" si="0"/>
        <v>110 * 42.6 </v>
      </c>
      <c r="E30" s="15">
        <v>110</v>
      </c>
      <c r="F30" s="15" t="str">
        <f ca="1">IF(INDIRECT("J"&amp;ROW())="текущие цены",IF(INDIRECT("G"&amp;ROW())="","0","0"),IF(INDIRECT("G"&amp;ROW())="","42.6","42.6"))</f>
        <v>42.6</v>
      </c>
      <c r="G30" s="15"/>
      <c r="H30" s="15"/>
      <c r="I30" s="15"/>
      <c r="J30" s="15" t="s">
        <v>5</v>
      </c>
      <c r="K30" s="15"/>
      <c r="L30" s="16">
        <f ca="1">IF(INDIRECT("J"&amp;ROW())="текущие цены",0/1000,4686/1000)</f>
        <v>4.686</v>
      </c>
      <c r="M30" s="7"/>
      <c r="N30" s="7"/>
      <c r="O30" s="7"/>
      <c r="P30" s="7"/>
      <c r="Q30" s="7"/>
    </row>
    <row r="31" spans="1:17" ht="45">
      <c r="A31" s="12">
        <v>8</v>
      </c>
      <c r="B31" s="13" t="s">
        <v>19</v>
      </c>
      <c r="C31" s="13" t="s">
        <v>68</v>
      </c>
      <c r="D31" s="14" t="str">
        <f ca="1" t="shared" si="0"/>
        <v>110 * 1.6 </v>
      </c>
      <c r="E31" s="15">
        <v>110</v>
      </c>
      <c r="F31" s="15" t="str">
        <f ca="1">IF(INDIRECT("J"&amp;ROW())="текущие цены",IF(INDIRECT("G"&amp;ROW())="","0","0"),IF(INDIRECT("G"&amp;ROW())="","1.6","1.6"))</f>
        <v>1.6</v>
      </c>
      <c r="G31" s="15"/>
      <c r="H31" s="15"/>
      <c r="I31" s="15"/>
      <c r="J31" s="15" t="s">
        <v>5</v>
      </c>
      <c r="K31" s="15"/>
      <c r="L31" s="16">
        <f ca="1">IF(INDIRECT("J"&amp;ROW())="текущие цены",0/1000,176/1000)</f>
        <v>0.176</v>
      </c>
      <c r="M31" s="7"/>
      <c r="N31" s="7"/>
      <c r="O31" s="7"/>
      <c r="P31" s="7"/>
      <c r="Q31" s="7"/>
    </row>
    <row r="32" spans="1:17" ht="45">
      <c r="A32" s="12">
        <v>9</v>
      </c>
      <c r="B32" s="13" t="s">
        <v>20</v>
      </c>
      <c r="C32" s="13" t="s">
        <v>69</v>
      </c>
      <c r="D32" s="14" t="str">
        <f ca="1" t="shared" si="0"/>
        <v>1 * 130 </v>
      </c>
      <c r="E32" s="15">
        <v>1</v>
      </c>
      <c r="F32" s="15" t="str">
        <f ca="1">IF(INDIRECT("J"&amp;ROW())="текущие цены",IF(INDIRECT("G"&amp;ROW())="","0","0"),IF(INDIRECT("G"&amp;ROW())="","130","130"))</f>
        <v>130</v>
      </c>
      <c r="G32" s="15"/>
      <c r="H32" s="15"/>
      <c r="I32" s="15"/>
      <c r="J32" s="15" t="s">
        <v>5</v>
      </c>
      <c r="K32" s="15"/>
      <c r="L32" s="16">
        <f ca="1">IF(INDIRECT("J"&amp;ROW())="текущие цены",0/1000,130/1000)</f>
        <v>0.13</v>
      </c>
      <c r="M32" s="7"/>
      <c r="N32" s="7"/>
      <c r="O32" s="7"/>
      <c r="P32" s="7"/>
      <c r="Q32" s="7"/>
    </row>
    <row r="33" spans="1:17" ht="45">
      <c r="A33" s="12">
        <v>10</v>
      </c>
      <c r="B33" s="13" t="s">
        <v>21</v>
      </c>
      <c r="C33" s="13" t="s">
        <v>70</v>
      </c>
      <c r="D33" s="14" t="str">
        <f ca="1" t="shared" si="0"/>
        <v>25 * 22.9 </v>
      </c>
      <c r="E33" s="15">
        <v>25</v>
      </c>
      <c r="F33" s="15" t="str">
        <f ca="1">IF(INDIRECT("J"&amp;ROW())="текущие цены",IF(INDIRECT("G"&amp;ROW())="","0","0"),IF(INDIRECT("G"&amp;ROW())="","22.9","22.9"))</f>
        <v>22.9</v>
      </c>
      <c r="G33" s="15"/>
      <c r="H33" s="15"/>
      <c r="I33" s="15"/>
      <c r="J33" s="15" t="s">
        <v>5</v>
      </c>
      <c r="K33" s="15"/>
      <c r="L33" s="16">
        <f ca="1">IF(INDIRECT("J"&amp;ROW())="текущие цены",0/1000,572.5/1000)</f>
        <v>0.5725</v>
      </c>
      <c r="M33" s="7"/>
      <c r="N33" s="7"/>
      <c r="O33" s="7"/>
      <c r="P33" s="7"/>
      <c r="Q33" s="7"/>
    </row>
    <row r="34" spans="1:17" ht="45">
      <c r="A34" s="12">
        <v>11</v>
      </c>
      <c r="B34" s="13" t="s">
        <v>22</v>
      </c>
      <c r="C34" s="13" t="s">
        <v>71</v>
      </c>
      <c r="D34" s="14" t="str">
        <f ca="1" t="shared" si="0"/>
        <v>10 * 30.6 </v>
      </c>
      <c r="E34" s="15">
        <v>10</v>
      </c>
      <c r="F34" s="15" t="str">
        <f ca="1">IF(INDIRECT("J"&amp;ROW())="текущие цены",IF(INDIRECT("G"&amp;ROW())="","0","0"),IF(INDIRECT("G"&amp;ROW())="","30.6","30.6"))</f>
        <v>30.6</v>
      </c>
      <c r="G34" s="15"/>
      <c r="H34" s="15"/>
      <c r="I34" s="15"/>
      <c r="J34" s="15" t="s">
        <v>5</v>
      </c>
      <c r="K34" s="15"/>
      <c r="L34" s="16">
        <f ca="1">IF(INDIRECT("J"&amp;ROW())="текущие цены",0/1000,306/1000)</f>
        <v>0.306</v>
      </c>
      <c r="M34" s="7"/>
      <c r="N34" s="7"/>
      <c r="O34" s="7"/>
      <c r="P34" s="7"/>
      <c r="Q34" s="7"/>
    </row>
    <row r="35" spans="1:17" ht="105">
      <c r="A35" s="12">
        <v>12</v>
      </c>
      <c r="B35" s="13" t="s">
        <v>23</v>
      </c>
      <c r="C35" s="13" t="s">
        <v>72</v>
      </c>
      <c r="D35" s="14" t="str">
        <f ca="1" t="shared" si="0"/>
        <v>(0,14) * 5305.35 </v>
      </c>
      <c r="E35" s="15">
        <v>0.14</v>
      </c>
      <c r="F35" s="15" t="str">
        <f ca="1">IF(INDIRECT("J"&amp;ROW())="текущие цены",IF(INDIRECT("G"&amp;ROW())="","0","0"),IF(INDIRECT("G"&amp;ROW())="","5305.35","5305.35"))</f>
        <v>5305.35</v>
      </c>
      <c r="G35" s="15"/>
      <c r="H35" s="22">
        <v>0.14</v>
      </c>
      <c r="I35" s="15"/>
      <c r="J35" s="15" t="s">
        <v>5</v>
      </c>
      <c r="K35" s="15"/>
      <c r="L35" s="16">
        <f ca="1">IF(INDIRECT("J"&amp;ROW())="текущие цены",0/1000,742.75/1000)</f>
        <v>0.74275</v>
      </c>
      <c r="M35" s="7"/>
      <c r="N35" s="7"/>
      <c r="O35" s="7"/>
      <c r="P35" s="7"/>
      <c r="Q35" s="7"/>
    </row>
    <row r="36" spans="1:17" ht="15">
      <c r="A36" s="61" t="s">
        <v>24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7"/>
      <c r="N36" s="7"/>
      <c r="O36" s="7"/>
      <c r="P36" s="7"/>
      <c r="Q36" s="7"/>
    </row>
    <row r="37" spans="1:17" ht="45">
      <c r="A37" s="12">
        <v>13</v>
      </c>
      <c r="B37" s="13" t="s">
        <v>25</v>
      </c>
      <c r="C37" s="13" t="s">
        <v>73</v>
      </c>
      <c r="D37" s="14" t="str">
        <f aca="true" ca="1" t="shared" si="1" ref="D37:D43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25 * 18.2 </v>
      </c>
      <c r="E37" s="15">
        <v>25</v>
      </c>
      <c r="F37" s="15" t="str">
        <f ca="1">IF(INDIRECT("J"&amp;ROW())="текущие цены",IF(INDIRECT("G"&amp;ROW())="","0","0"),IF(INDIRECT("G"&amp;ROW())="","18.2","18.2"))</f>
        <v>18.2</v>
      </c>
      <c r="G37" s="15"/>
      <c r="H37" s="15"/>
      <c r="I37" s="15"/>
      <c r="J37" s="15" t="s">
        <v>5</v>
      </c>
      <c r="K37" s="15"/>
      <c r="L37" s="16">
        <f ca="1">IF(INDIRECT("J"&amp;ROW())="текущие цены",0/1000,455/1000)</f>
        <v>0.455</v>
      </c>
      <c r="M37" s="7"/>
      <c r="N37" s="7"/>
      <c r="O37" s="7"/>
      <c r="P37" s="7"/>
      <c r="Q37" s="7"/>
    </row>
    <row r="38" spans="1:17" ht="60">
      <c r="A38" s="12">
        <v>14</v>
      </c>
      <c r="B38" s="13" t="s">
        <v>26</v>
      </c>
      <c r="C38" s="13" t="s">
        <v>74</v>
      </c>
      <c r="D38" s="14" t="str">
        <f ca="1" t="shared" si="1"/>
        <v>10 * 38.4 </v>
      </c>
      <c r="E38" s="15">
        <v>10</v>
      </c>
      <c r="F38" s="15" t="str">
        <f ca="1">IF(INDIRECT("J"&amp;ROW())="текущие цены",IF(INDIRECT("G"&amp;ROW())="","0","0"),IF(INDIRECT("G"&amp;ROW())="","38.4","38.4"))</f>
        <v>38.4</v>
      </c>
      <c r="G38" s="15"/>
      <c r="H38" s="15"/>
      <c r="I38" s="15"/>
      <c r="J38" s="15" t="s">
        <v>5</v>
      </c>
      <c r="K38" s="15"/>
      <c r="L38" s="16">
        <f ca="1">IF(INDIRECT("J"&amp;ROW())="текущие цены",0/1000,384/1000)</f>
        <v>0.384</v>
      </c>
      <c r="M38" s="7"/>
      <c r="N38" s="7"/>
      <c r="O38" s="7"/>
      <c r="P38" s="7"/>
      <c r="Q38" s="7"/>
    </row>
    <row r="39" spans="1:17" ht="75">
      <c r="A39" s="12">
        <v>15</v>
      </c>
      <c r="B39" s="13" t="s">
        <v>27</v>
      </c>
      <c r="C39" s="13" t="s">
        <v>75</v>
      </c>
      <c r="D39" s="14" t="str">
        <f ca="1" t="shared" si="1"/>
        <v>25 * 193 </v>
      </c>
      <c r="E39" s="15">
        <v>25</v>
      </c>
      <c r="F39" s="15" t="str">
        <f ca="1">IF(INDIRECT("J"&amp;ROW())="текущие цены",IF(INDIRECT("G"&amp;ROW())="","0","0"),IF(INDIRECT("G"&amp;ROW())="","193","193"))</f>
        <v>193</v>
      </c>
      <c r="G39" s="15"/>
      <c r="H39" s="15"/>
      <c r="I39" s="15"/>
      <c r="J39" s="15" t="s">
        <v>5</v>
      </c>
      <c r="K39" s="15"/>
      <c r="L39" s="16">
        <f ca="1">IF(INDIRECT("J"&amp;ROW())="текущие цены",0/1000,4825/1000)</f>
        <v>4.825</v>
      </c>
      <c r="M39" s="7"/>
      <c r="N39" s="7"/>
      <c r="O39" s="7"/>
      <c r="P39" s="7"/>
      <c r="Q39" s="7"/>
    </row>
    <row r="40" spans="1:17" ht="45">
      <c r="A40" s="12">
        <v>16</v>
      </c>
      <c r="B40" s="13" t="s">
        <v>28</v>
      </c>
      <c r="C40" s="13" t="s">
        <v>76</v>
      </c>
      <c r="D40" s="14" t="str">
        <f ca="1" t="shared" si="1"/>
        <v>3 * 3.8 </v>
      </c>
      <c r="E40" s="15">
        <v>3</v>
      </c>
      <c r="F40" s="15" t="str">
        <f ca="1">IF(INDIRECT("J"&amp;ROW())="текущие цены",IF(INDIRECT("G"&amp;ROW())="","0","0"),IF(INDIRECT("G"&amp;ROW())="","3.8","3.8"))</f>
        <v>3.8</v>
      </c>
      <c r="G40" s="15"/>
      <c r="H40" s="15"/>
      <c r="I40" s="15"/>
      <c r="J40" s="15" t="s">
        <v>5</v>
      </c>
      <c r="K40" s="15"/>
      <c r="L40" s="16">
        <f ca="1">IF(INDIRECT("J"&amp;ROW())="текущие цены",0/1000,11.4/1000)</f>
        <v>0.0114</v>
      </c>
      <c r="M40" s="7"/>
      <c r="N40" s="7"/>
      <c r="O40" s="7"/>
      <c r="P40" s="7"/>
      <c r="Q40" s="7"/>
    </row>
    <row r="41" spans="1:17" ht="45">
      <c r="A41" s="12">
        <v>17</v>
      </c>
      <c r="B41" s="13" t="s">
        <v>29</v>
      </c>
      <c r="C41" s="13" t="s">
        <v>77</v>
      </c>
      <c r="D41" s="14" t="str">
        <f ca="1" t="shared" si="1"/>
        <v>3 * 48.8 </v>
      </c>
      <c r="E41" s="15">
        <v>3</v>
      </c>
      <c r="F41" s="15" t="str">
        <f ca="1">IF(INDIRECT("J"&amp;ROW())="текущие цены",IF(INDIRECT("G"&amp;ROW())="","0","0"),IF(INDIRECT("G"&amp;ROW())="","48.8","48.8"))</f>
        <v>48.8</v>
      </c>
      <c r="G41" s="15"/>
      <c r="H41" s="15"/>
      <c r="I41" s="15"/>
      <c r="J41" s="15" t="s">
        <v>5</v>
      </c>
      <c r="K41" s="15"/>
      <c r="L41" s="16">
        <f ca="1">IF(INDIRECT("J"&amp;ROW())="текущие цены",0/1000,146.4/1000)</f>
        <v>0.1464</v>
      </c>
      <c r="M41" s="7"/>
      <c r="N41" s="7"/>
      <c r="O41" s="7"/>
      <c r="P41" s="7"/>
      <c r="Q41" s="7"/>
    </row>
    <row r="42" spans="1:17" ht="75">
      <c r="A42" s="12">
        <v>18</v>
      </c>
      <c r="B42" s="13" t="s">
        <v>30</v>
      </c>
      <c r="C42" s="13" t="s">
        <v>78</v>
      </c>
      <c r="D42" s="14" t="str">
        <f ca="1" t="shared" si="1"/>
        <v>25 * 7.8 </v>
      </c>
      <c r="E42" s="15">
        <v>25</v>
      </c>
      <c r="F42" s="15" t="str">
        <f ca="1">IF(INDIRECT("J"&amp;ROW())="текущие цены",IF(INDIRECT("G"&amp;ROW())="","0","0"),IF(INDIRECT("G"&amp;ROW())="","7.8","7.8"))</f>
        <v>7.8</v>
      </c>
      <c r="G42" s="15"/>
      <c r="H42" s="15"/>
      <c r="I42" s="15"/>
      <c r="J42" s="15" t="s">
        <v>5</v>
      </c>
      <c r="K42" s="15"/>
      <c r="L42" s="16">
        <f ca="1">IF(INDIRECT("J"&amp;ROW())="текущие цены",0/1000,195/1000)</f>
        <v>0.195</v>
      </c>
      <c r="M42" s="7"/>
      <c r="N42" s="7"/>
      <c r="O42" s="7"/>
      <c r="P42" s="7"/>
      <c r="Q42" s="7"/>
    </row>
    <row r="43" spans="1:17" ht="75">
      <c r="A43" s="17">
        <v>19</v>
      </c>
      <c r="B43" s="18" t="s">
        <v>31</v>
      </c>
      <c r="C43" s="18" t="s">
        <v>79</v>
      </c>
      <c r="D43" s="19" t="str">
        <f ca="1" t="shared" si="1"/>
        <v>25 * 76.8 </v>
      </c>
      <c r="E43" s="20">
        <v>25</v>
      </c>
      <c r="F43" s="20" t="str">
        <f ca="1">IF(INDIRECT("J"&amp;ROW())="текущие цены",IF(INDIRECT("G"&amp;ROW())="","0","0"),IF(INDIRECT("G"&amp;ROW())="","76.8","76.8"))</f>
        <v>76.8</v>
      </c>
      <c r="G43" s="20"/>
      <c r="H43" s="20"/>
      <c r="I43" s="20"/>
      <c r="J43" s="20" t="s">
        <v>5</v>
      </c>
      <c r="K43" s="20"/>
      <c r="L43" s="21">
        <f ca="1">IF(INDIRECT("J"&amp;ROW())="текущие цены",0/1000,1920/1000)</f>
        <v>1.92</v>
      </c>
      <c r="M43" s="7"/>
      <c r="N43" s="7"/>
      <c r="O43" s="7"/>
      <c r="P43" s="7"/>
      <c r="Q43" s="7"/>
    </row>
    <row r="44" spans="1:17" ht="15">
      <c r="A44" s="50" t="s">
        <v>86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16">
        <f>14702.06/1000</f>
        <v>14.70206</v>
      </c>
      <c r="M44" s="7"/>
      <c r="N44" s="7"/>
      <c r="O44" s="7"/>
      <c r="P44" s="7"/>
      <c r="Q44" s="7"/>
    </row>
    <row r="45" spans="1:17" ht="15.75">
      <c r="A45" s="48" t="s">
        <v>32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16"/>
      <c r="M45" s="7"/>
      <c r="N45" s="7"/>
      <c r="O45" s="7"/>
      <c r="P45" s="7"/>
      <c r="Q45" s="7"/>
    </row>
    <row r="46" spans="1:17" ht="15">
      <c r="A46" s="50" t="s">
        <v>33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16">
        <f>14702.06/1000</f>
        <v>14.70206</v>
      </c>
      <c r="M46" s="7"/>
      <c r="N46" s="7"/>
      <c r="O46" s="7"/>
      <c r="P46" s="7"/>
      <c r="Q46" s="7"/>
    </row>
    <row r="47" spans="1:17" ht="31.5" customHeight="1">
      <c r="A47" s="50" t="s">
        <v>14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16">
        <f>14702.06/1000</f>
        <v>14.70206</v>
      </c>
      <c r="M47" s="7"/>
      <c r="N47" s="7"/>
      <c r="O47" s="7"/>
      <c r="P47" s="7"/>
      <c r="Q47" s="7"/>
    </row>
    <row r="48" spans="1:17" ht="15">
      <c r="A48" s="50" t="s">
        <v>54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16">
        <f>654241.67/1000</f>
        <v>654.24167</v>
      </c>
      <c r="M48" s="7"/>
      <c r="N48" s="7"/>
      <c r="O48" s="7"/>
      <c r="P48" s="7"/>
      <c r="Q48" s="7"/>
    </row>
    <row r="49" spans="1:17" ht="31.5" customHeight="1">
      <c r="A49" s="54" t="s">
        <v>34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21">
        <f>654241.67/1000</f>
        <v>654.24167</v>
      </c>
      <c r="M49" s="7"/>
      <c r="N49" s="7"/>
      <c r="O49" s="7"/>
      <c r="P49" s="7"/>
      <c r="Q49" s="7"/>
    </row>
    <row r="50" spans="1:17" ht="16.5">
      <c r="A50" s="52" t="s">
        <v>55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7"/>
      <c r="N50" s="7"/>
      <c r="O50" s="7"/>
      <c r="P50" s="7"/>
      <c r="Q50" s="7"/>
    </row>
    <row r="51" spans="1:17" ht="45">
      <c r="A51" s="12">
        <v>20</v>
      </c>
      <c r="B51" s="13" t="s">
        <v>35</v>
      </c>
      <c r="C51" s="13" t="s">
        <v>80</v>
      </c>
      <c r="D51" s="14" t="s">
        <v>56</v>
      </c>
      <c r="E51" s="15">
        <v>1</v>
      </c>
      <c r="F51" s="15" t="str">
        <f ca="1">IF(INDIRECT("J"&amp;ROW())="текущие цены",IF(INDIRECT("G"&amp;ROW())="","0","0"),IF(INDIRECT("G"&amp;ROW())="","199000","199000"))</f>
        <v>199000</v>
      </c>
      <c r="G51" s="15"/>
      <c r="H51" s="15"/>
      <c r="I51" s="15"/>
      <c r="J51" s="15" t="s">
        <v>5</v>
      </c>
      <c r="K51" s="15"/>
      <c r="L51" s="16">
        <v>311.6</v>
      </c>
      <c r="M51" s="7"/>
      <c r="N51" s="7"/>
      <c r="O51" s="7"/>
      <c r="P51" s="7"/>
      <c r="Q51" s="7"/>
    </row>
    <row r="52" spans="1:17" ht="60">
      <c r="A52" s="23">
        <v>21</v>
      </c>
      <c r="B52" s="24" t="s">
        <v>36</v>
      </c>
      <c r="C52" s="24" t="s">
        <v>81</v>
      </c>
      <c r="D52" s="25" t="s">
        <v>57</v>
      </c>
      <c r="E52" s="26">
        <v>1</v>
      </c>
      <c r="F52" s="26" t="str">
        <f ca="1">IF(INDIRECT("J"&amp;ROW())="текущие цены",IF(INDIRECT("G"&amp;ROW())="","0","0"),IF(INDIRECT("G"&amp;ROW())="","148040","148040"))</f>
        <v>148040</v>
      </c>
      <c r="G52" s="26"/>
      <c r="H52" s="26"/>
      <c r="I52" s="26"/>
      <c r="J52" s="26" t="s">
        <v>5</v>
      </c>
      <c r="K52" s="26"/>
      <c r="L52" s="27">
        <v>781.64</v>
      </c>
      <c r="M52" s="7"/>
      <c r="N52" s="7"/>
      <c r="O52" s="7"/>
      <c r="P52" s="7"/>
      <c r="Q52" s="7"/>
    </row>
    <row r="53" spans="1:17" ht="15">
      <c r="A53" s="50" t="s">
        <v>86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16">
        <f>311600/1000</f>
        <v>311.6</v>
      </c>
      <c r="M53" s="7"/>
      <c r="N53" s="7"/>
      <c r="O53" s="7"/>
      <c r="P53" s="7"/>
      <c r="Q53" s="7"/>
    </row>
    <row r="54" spans="1:17" ht="15.75">
      <c r="A54" s="48" t="s">
        <v>37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16"/>
      <c r="M54" s="7"/>
      <c r="N54" s="7"/>
      <c r="O54" s="7"/>
      <c r="P54" s="7"/>
      <c r="Q54" s="7"/>
    </row>
    <row r="55" spans="1:17" ht="15">
      <c r="A55" s="50" t="s">
        <v>38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16">
        <f>311600/1000</f>
        <v>311.6</v>
      </c>
      <c r="M55" s="7"/>
      <c r="N55" s="7"/>
      <c r="O55" s="7"/>
      <c r="P55" s="7"/>
      <c r="Q55" s="7"/>
    </row>
    <row r="56" spans="1:17" ht="15">
      <c r="A56" s="50" t="s">
        <v>14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16">
        <f>311600/1000</f>
        <v>311.6</v>
      </c>
      <c r="M56" s="7"/>
      <c r="N56" s="7"/>
      <c r="O56" s="7"/>
      <c r="P56" s="7"/>
      <c r="Q56" s="7"/>
    </row>
    <row r="57" spans="1:17" ht="30" customHeight="1">
      <c r="A57" s="50" t="s">
        <v>58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16">
        <f>1224588/1000</f>
        <v>1224.588</v>
      </c>
      <c r="M57" s="7"/>
      <c r="N57" s="7"/>
      <c r="O57" s="7"/>
      <c r="P57" s="7"/>
      <c r="Q57" s="7"/>
    </row>
    <row r="58" spans="1:17" ht="15" customHeight="1">
      <c r="A58" s="54" t="s">
        <v>39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21">
        <f>1224588/1000</f>
        <v>1224.588</v>
      </c>
      <c r="M58" s="7"/>
      <c r="N58" s="7"/>
      <c r="O58" s="7"/>
      <c r="P58" s="7"/>
      <c r="Q58" s="7"/>
    </row>
    <row r="59" spans="1:17" ht="16.5">
      <c r="A59" s="52" t="s">
        <v>59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7"/>
      <c r="N59" s="7"/>
      <c r="O59" s="7"/>
      <c r="P59" s="7"/>
      <c r="Q59" s="7"/>
    </row>
    <row r="60" spans="1:17" ht="45">
      <c r="A60" s="17">
        <v>22</v>
      </c>
      <c r="B60" s="18" t="s">
        <v>40</v>
      </c>
      <c r="C60" s="18" t="s">
        <v>41</v>
      </c>
      <c r="D60" s="19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 * 118843.36 </v>
      </c>
      <c r="E60" s="20">
        <v>1</v>
      </c>
      <c r="F60" s="20" t="str">
        <f ca="1">IF(INDIRECT("J"&amp;ROW())="текущие цены",IF(INDIRECT("G"&amp;ROW())="","0","0"),IF(INDIRECT("G"&amp;ROW())="","118843.36","118843.36"))</f>
        <v>118843.36</v>
      </c>
      <c r="G60" s="20"/>
      <c r="H60" s="20"/>
      <c r="I60" s="20"/>
      <c r="J60" s="20" t="s">
        <v>5</v>
      </c>
      <c r="K60" s="20"/>
      <c r="L60" s="21">
        <f ca="1">IF(INDIRECT("J"&amp;ROW())="текущие цены",0/1000,118843.36/1000)</f>
        <v>118.84336</v>
      </c>
      <c r="M60" s="7"/>
      <c r="N60" s="7"/>
      <c r="O60" s="7"/>
      <c r="P60" s="7"/>
      <c r="Q60" s="7"/>
    </row>
    <row r="61" spans="1:17" ht="31.5" customHeight="1">
      <c r="A61" s="50" t="s">
        <v>86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16">
        <f>118843.36/1000</f>
        <v>118.84336</v>
      </c>
      <c r="M61" s="7"/>
      <c r="N61" s="7"/>
      <c r="O61" s="7"/>
      <c r="P61" s="7"/>
      <c r="Q61" s="7"/>
    </row>
    <row r="62" spans="1:17" ht="15.75">
      <c r="A62" s="48" t="s">
        <v>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16"/>
      <c r="M62" s="7"/>
      <c r="N62" s="7"/>
      <c r="O62" s="7"/>
      <c r="P62" s="7"/>
      <c r="Q62" s="7"/>
    </row>
    <row r="63" spans="1:17" ht="15">
      <c r="A63" s="50" t="s">
        <v>38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16">
        <f>118843.36/1000</f>
        <v>118.84336</v>
      </c>
      <c r="M63" s="7"/>
      <c r="N63" s="7"/>
      <c r="O63" s="7"/>
      <c r="P63" s="7"/>
      <c r="Q63" s="7"/>
    </row>
    <row r="64" spans="1:17" ht="22.5" customHeight="1">
      <c r="A64" s="50" t="s">
        <v>14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16">
        <f>118843.36/1000</f>
        <v>118.84336</v>
      </c>
      <c r="M64" s="7"/>
      <c r="N64" s="7"/>
      <c r="O64" s="7"/>
      <c r="P64" s="7"/>
      <c r="Q64" s="7"/>
    </row>
    <row r="65" spans="1:17" ht="15">
      <c r="A65" s="50" t="s">
        <v>58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16">
        <f>467054.4/1000</f>
        <v>467.05440000000004</v>
      </c>
      <c r="M65" s="7"/>
      <c r="N65" s="7"/>
      <c r="O65" s="7"/>
      <c r="P65" s="7"/>
      <c r="Q65" s="7"/>
    </row>
    <row r="66" spans="1:17" ht="15" customHeight="1">
      <c r="A66" s="54" t="s">
        <v>43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21">
        <f>467054.4/1000</f>
        <v>467.05440000000004</v>
      </c>
      <c r="M66" s="7"/>
      <c r="N66" s="7"/>
      <c r="O66" s="7"/>
      <c r="P66" s="7"/>
      <c r="Q66" s="7"/>
    </row>
    <row r="67" spans="1:17" ht="16.5">
      <c r="A67" s="52" t="s">
        <v>60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7"/>
      <c r="N67" s="7"/>
      <c r="O67" s="7"/>
      <c r="P67" s="7"/>
      <c r="Q67" s="7"/>
    </row>
    <row r="68" spans="1:17" ht="60">
      <c r="A68" s="12">
        <v>23</v>
      </c>
      <c r="B68" s="13" t="s">
        <v>44</v>
      </c>
      <c r="C68" s="13" t="s">
        <v>82</v>
      </c>
      <c r="D68" s="14" t="s">
        <v>61</v>
      </c>
      <c r="E68" s="15">
        <v>1</v>
      </c>
      <c r="F68" s="15" t="str">
        <f ca="1">IF(INDIRECT("J"&amp;ROW())="текущие цены",IF(INDIRECT("G"&amp;ROW())="","0","0"),IF(INDIRECT("G"&amp;ROW())="","55880","55880"))</f>
        <v>55880</v>
      </c>
      <c r="G68" s="15"/>
      <c r="H68" s="15"/>
      <c r="I68" s="15"/>
      <c r="J68" s="15" t="s">
        <v>5</v>
      </c>
      <c r="K68" s="15"/>
      <c r="L68" s="16">
        <v>150.7</v>
      </c>
      <c r="M68" s="7"/>
      <c r="N68" s="7"/>
      <c r="O68" s="7"/>
      <c r="P68" s="7"/>
      <c r="Q68" s="7"/>
    </row>
    <row r="69" spans="1:17" ht="15">
      <c r="A69" s="50" t="s">
        <v>86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16">
        <f>150700/1000</f>
        <v>150.7</v>
      </c>
      <c r="M69" s="7"/>
      <c r="N69" s="7"/>
      <c r="O69" s="7"/>
      <c r="P69" s="7"/>
      <c r="Q69" s="7"/>
    </row>
    <row r="70" spans="1:17" ht="31.5" customHeight="1">
      <c r="A70" s="48" t="s">
        <v>45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16"/>
      <c r="M70" s="7"/>
      <c r="N70" s="7"/>
      <c r="O70" s="7"/>
      <c r="P70" s="7"/>
      <c r="Q70" s="7"/>
    </row>
    <row r="71" spans="1:17" ht="15">
      <c r="A71" s="50" t="s">
        <v>46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16">
        <f>150700/1000</f>
        <v>150.7</v>
      </c>
      <c r="M71" s="7"/>
      <c r="N71" s="7"/>
      <c r="O71" s="7"/>
      <c r="P71" s="7"/>
      <c r="Q71" s="7"/>
    </row>
    <row r="72" spans="1:17" ht="15">
      <c r="A72" s="50" t="s">
        <v>14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16">
        <f>150700/1000</f>
        <v>150.7</v>
      </c>
      <c r="M72" s="7"/>
      <c r="N72" s="7"/>
      <c r="O72" s="7"/>
      <c r="P72" s="7"/>
      <c r="Q72" s="7"/>
    </row>
    <row r="73" spans="1:17" ht="37.5" customHeight="1">
      <c r="A73" s="50" t="s">
        <v>52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16">
        <f>590744/1000</f>
        <v>590.744</v>
      </c>
      <c r="M73" s="7"/>
      <c r="N73" s="7"/>
      <c r="O73" s="7"/>
      <c r="P73" s="7"/>
      <c r="Q73" s="7"/>
    </row>
    <row r="74" spans="1:17" ht="15" customHeight="1">
      <c r="A74" s="54" t="s">
        <v>47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21">
        <f>590744/1000</f>
        <v>590.744</v>
      </c>
      <c r="M74" s="7"/>
      <c r="N74" s="7"/>
      <c r="O74" s="7"/>
      <c r="P74" s="7"/>
      <c r="Q74" s="7"/>
    </row>
    <row r="75" spans="1:17" ht="15">
      <c r="A75" s="59" t="s">
        <v>87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28">
        <f>704867.01/1000</f>
        <v>704.86701</v>
      </c>
      <c r="M75" s="7"/>
      <c r="N75" s="7"/>
      <c r="O75" s="7"/>
      <c r="P75" s="7"/>
      <c r="Q75" s="7"/>
    </row>
    <row r="76" spans="1:17" ht="15">
      <c r="A76" s="60" t="s">
        <v>48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28"/>
      <c r="M76" s="7"/>
      <c r="N76" s="7"/>
      <c r="O76" s="7"/>
      <c r="P76" s="7"/>
      <c r="Q76" s="7"/>
    </row>
    <row r="77" spans="1:17" ht="15">
      <c r="A77" s="59" t="s">
        <v>83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28">
        <f>1018108.63/1000</f>
        <v>1018.10863</v>
      </c>
      <c r="M77" s="7"/>
      <c r="N77" s="7"/>
      <c r="O77" s="7"/>
      <c r="P77" s="7"/>
      <c r="Q77" s="7"/>
    </row>
    <row r="78" spans="1:17" ht="15">
      <c r="A78" s="59" t="s">
        <v>84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28">
        <f>654241.67/1000</f>
        <v>654.24167</v>
      </c>
      <c r="M78" s="7"/>
      <c r="N78" s="7"/>
      <c r="O78" s="7"/>
      <c r="P78" s="7"/>
      <c r="Q78" s="7"/>
    </row>
    <row r="79" spans="1:17" ht="15">
      <c r="A79" s="59" t="s">
        <v>85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28">
        <f>1691642.4/1000</f>
        <v>1691.6424</v>
      </c>
      <c r="M79" s="7"/>
      <c r="N79" s="7"/>
      <c r="O79" s="7"/>
      <c r="P79" s="7"/>
      <c r="Q79" s="7"/>
    </row>
    <row r="80" spans="1:17" ht="15">
      <c r="A80" s="59" t="s">
        <v>14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28">
        <f>3363992.7/1000</f>
        <v>3363.9927000000002</v>
      </c>
      <c r="M80" s="7"/>
      <c r="N80" s="7"/>
      <c r="O80" s="7"/>
      <c r="P80" s="7"/>
      <c r="Q80" s="7"/>
    </row>
    <row r="81" spans="1:17" ht="15" customHeight="1">
      <c r="A81" s="59" t="s">
        <v>49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28">
        <f>605518.69/1000</f>
        <v>605.51869</v>
      </c>
      <c r="M81" s="7"/>
      <c r="N81" s="7"/>
      <c r="O81" s="7"/>
      <c r="P81" s="7"/>
      <c r="Q81" s="7"/>
    </row>
    <row r="82" spans="1:17" ht="15">
      <c r="A82" s="60" t="s">
        <v>50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2">
        <f>3969511.39/1000</f>
        <v>3969.51139</v>
      </c>
      <c r="M82" s="7"/>
      <c r="N82" s="7"/>
      <c r="O82" s="7"/>
      <c r="P82" s="7"/>
      <c r="Q82" s="7"/>
    </row>
    <row r="83" spans="1:1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8"/>
      <c r="N83" s="9"/>
      <c r="O83" s="9"/>
      <c r="P83" s="9"/>
      <c r="Q83" s="9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25" s="29" customFormat="1" ht="15">
      <c r="A85" s="56" t="s">
        <v>91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40"/>
      <c r="O85" s="40"/>
      <c r="P85" s="40"/>
      <c r="Q85" s="40"/>
      <c r="R85" s="1"/>
      <c r="S85" s="1"/>
      <c r="T85" s="1"/>
      <c r="U85" s="1"/>
      <c r="V85" s="1"/>
      <c r="W85" s="1"/>
      <c r="X85" s="1"/>
      <c r="Y85" s="1"/>
    </row>
    <row r="86" spans="1:25" s="29" customFormat="1" ht="15">
      <c r="A86" s="58" t="s">
        <v>92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40"/>
      <c r="O86" s="40"/>
      <c r="P86" s="40"/>
      <c r="Q86" s="40"/>
      <c r="R86" s="1"/>
      <c r="S86" s="1"/>
      <c r="T86" s="1"/>
      <c r="U86" s="1"/>
      <c r="V86" s="1"/>
      <c r="W86" s="1"/>
      <c r="X86" s="1"/>
      <c r="Y86" s="1"/>
    </row>
    <row r="87" spans="2:12" ht="31.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">
      <c r="B88" s="2"/>
      <c r="C88" s="10"/>
      <c r="D88" s="2"/>
      <c r="E88" s="2"/>
      <c r="F88" s="2"/>
      <c r="G88" s="2"/>
      <c r="H88" s="2"/>
      <c r="I88" s="2"/>
      <c r="J88" s="2"/>
      <c r="K88" s="2"/>
      <c r="L88" s="2"/>
    </row>
    <row r="90" spans="1:12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</row>
  </sheetData>
  <sheetProtection/>
  <mergeCells count="56">
    <mergeCell ref="A90:L90"/>
    <mergeCell ref="A15:L15"/>
    <mergeCell ref="A21:K21"/>
    <mergeCell ref="A1:L1"/>
    <mergeCell ref="A4:L4"/>
    <mergeCell ref="A5:L5"/>
    <mergeCell ref="A3:L3"/>
    <mergeCell ref="A2:L2"/>
    <mergeCell ref="A8:L8"/>
    <mergeCell ref="A9:L9"/>
    <mergeCell ref="A46:K46"/>
    <mergeCell ref="A22:K22"/>
    <mergeCell ref="A23:K23"/>
    <mergeCell ref="A24:K24"/>
    <mergeCell ref="A25:K25"/>
    <mergeCell ref="A26:K26"/>
    <mergeCell ref="A27:L27"/>
    <mergeCell ref="A28:L28"/>
    <mergeCell ref="A36:L36"/>
    <mergeCell ref="A44:K44"/>
    <mergeCell ref="A45:K45"/>
    <mergeCell ref="A58:K58"/>
    <mergeCell ref="A47:K47"/>
    <mergeCell ref="A48:K48"/>
    <mergeCell ref="A49:K49"/>
    <mergeCell ref="A50:L50"/>
    <mergeCell ref="A53:K53"/>
    <mergeCell ref="A85:M85"/>
    <mergeCell ref="A86:M86"/>
    <mergeCell ref="A72:K72"/>
    <mergeCell ref="A73:K73"/>
    <mergeCell ref="A74:K74"/>
    <mergeCell ref="A75:K75"/>
    <mergeCell ref="A76:K76"/>
    <mergeCell ref="A82:K82"/>
    <mergeCell ref="A77:K77"/>
    <mergeCell ref="A78:K78"/>
    <mergeCell ref="A79:K79"/>
    <mergeCell ref="A80:K80"/>
    <mergeCell ref="A81:K81"/>
    <mergeCell ref="A11:L11"/>
    <mergeCell ref="A70:K70"/>
    <mergeCell ref="A71:K71"/>
    <mergeCell ref="A59:L59"/>
    <mergeCell ref="A61:K61"/>
    <mergeCell ref="A62:K62"/>
    <mergeCell ref="A63:K63"/>
    <mergeCell ref="A64:K64"/>
    <mergeCell ref="A65:K65"/>
    <mergeCell ref="A54:K54"/>
    <mergeCell ref="A55:K55"/>
    <mergeCell ref="A56:K56"/>
    <mergeCell ref="A66:K66"/>
    <mergeCell ref="A67:L67"/>
    <mergeCell ref="A69:K69"/>
    <mergeCell ref="A57:K57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portrait" paperSize="9" scale="85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YuKazaeva</dc:creator>
  <cp:keywords/>
  <dc:description>27.04.2009</dc:description>
  <cp:lastModifiedBy>m.faleyeva</cp:lastModifiedBy>
  <cp:lastPrinted>2016-08-25T13:24:12Z</cp:lastPrinted>
  <dcterms:created xsi:type="dcterms:W3CDTF">2007-02-21T08:42:24Z</dcterms:created>
  <dcterms:modified xsi:type="dcterms:W3CDTF">2016-09-07T11:37:54Z</dcterms:modified>
  <cp:category/>
  <cp:version/>
  <cp:contentType/>
  <cp:contentStatus/>
</cp:coreProperties>
</file>