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данные'!$A$1:$L$46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45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1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42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32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2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47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<sst xmlns="http://schemas.openxmlformats.org/spreadsheetml/2006/main" count="65" uniqueCount="56">
  <si>
    <t>№ пп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</si>
  <si>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</si>
  <si>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</si>
  <si>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</si>
  <si>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</si>
  <si>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</si>
  <si>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</si>
  <si>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Канализация (бытовая, дождевая, общесплавная), сооружаемая открытым способом, диаметр до 300 мм, протяженность от 100 до 500 м</t>
  </si>
  <si>
    <t>цены 2001</t>
  </si>
  <si>
    <t>(п.3.Гл5При проектировании напорной канализации ПЗ=0,7)</t>
  </si>
  <si>
    <t>Итого по разделу 1 проектные работы</t>
  </si>
  <si>
    <t>Инженерно-геодезические изыскания трасс магистральных трубопроводов: 2 категории сложности - полевые работы</t>
  </si>
  <si>
    <t>1,75*1,005</t>
  </si>
  <si>
    <t>(920+650)/1000</t>
  </si>
  <si>
    <t>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</si>
  <si>
    <t>Инженерно-геодезические изыскания трасс магистральных трубопроводов: 2 категории сложности - камеральные работы</t>
  </si>
  <si>
    <t>1,2*1,06*1,15</t>
  </si>
  <si>
    <t>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</si>
  <si>
    <t>Итого по разделу 2 инженерно-геодезические изыскания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</si>
  <si>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полевые работы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</si>
  <si>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камеральные работы</t>
  </si>
  <si>
    <t>Колонковое бурение скважины диаметром до 160мм, глубиной до 15м: категория породы 1</t>
  </si>
  <si>
    <t>4*8</t>
  </si>
  <si>
    <t>Сокращенный анализ водной вытяжки (для почв)</t>
  </si>
  <si>
    <t>Краткий анализ грунтов (для стройматериалов)</t>
  </si>
  <si>
    <t>Итого по разделу 3 инженерно-геологические и инженерно-экологические изыскания</t>
  </si>
  <si>
    <t>Итоги по смете:</t>
  </si>
  <si>
    <t xml:space="preserve">  Итого</t>
  </si>
  <si>
    <t xml:space="preserve">  НДС 18%</t>
  </si>
  <si>
    <t xml:space="preserve">  ВСЕГО по смете</t>
  </si>
  <si>
    <t xml:space="preserve">                            проектные работы</t>
  </si>
  <si>
    <t>33000*1*0,7+128*650*0,7+128*650*0,15*0,7+128*920*</t>
  </si>
  <si>
    <t xml:space="preserve">                            инженерно-геодезические изыскания</t>
  </si>
  <si>
    <t xml:space="preserve">                            инженерно-геологические и инженерно-экологические изыскания</t>
  </si>
  <si>
    <r>
      <t xml:space="preserve">СБЦ65-7-1
</t>
    </r>
    <r>
      <rPr>
        <i/>
        <sz val="11"/>
        <rFont val="Arial"/>
        <family val="2"/>
      </rPr>
      <t xml:space="preserve"> Городские инж. сооружения и коммуникации (2008г.)
для параметра А: (п.3.Гл5При проектировании напорной канализации ПЗ=0,7)
для параметра Б: (при параллельной прокладке ПЗ=0,15 (ОЗП=0,15; ЭМ=0,15 к расх.; ЗПМ=0,15; МАТ=0,15 к расх.; ТЗ=0,15; ТЗМ=0,15);
п.3.Гл5При проектировании напорной канализации ПЗ=0,7)</t>
    </r>
  </si>
  <si>
    <r>
      <t xml:space="preserve">УБЦ2-13-1-2-1
</t>
    </r>
    <r>
      <rPr>
        <i/>
        <sz val="11"/>
        <rFont val="Arial"/>
        <family val="2"/>
      </rPr>
      <t>"Инж.-геодез. изыск.(2004 г.)"
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  </r>
  </si>
  <si>
    <r>
      <t xml:space="preserve">УБЦ2-13-1-2-2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  </r>
  </si>
  <si>
    <r>
      <t xml:space="preserve">СБЦИ3-10-1-1-1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</si>
  <si>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СБЦИ3-10-1-1-2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</si>
  <si>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</si>
  <si>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</si>
  <si>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СБЦИ3-71-12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</si>
  <si>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1 квартал 2016 г.Письмо Минстроя №4688-ХМ от 19.02.2016 г. 3,92</t>
  </si>
  <si>
    <t xml:space="preserve">  Итого Перевод в текущие цены на 1 квартал 2016 г.Письмо Минстроя №4688-ХМ от 19.02.2016 г. 3,93</t>
  </si>
  <si>
    <t xml:space="preserve">  Итого Перевод в текущие цены на 1 квартал 2016 г.Письмо Минстроя №4688-ХМ от 19.02.2016 г. 44,5</t>
  </si>
  <si>
    <t>Итого затраты по разделу</t>
  </si>
  <si>
    <t>Итого затраты по смете</t>
  </si>
  <si>
    <t>УТВЕРЖДАЮ:</t>
  </si>
  <si>
    <t>Составил: ___________________________Е.А. Миронова</t>
  </si>
  <si>
    <t>(должность, подпись, расшифровка)</t>
  </si>
  <si>
    <t>Приложение № 1 к закупочной документации</t>
  </si>
  <si>
    <t>И.о.       генерального директора</t>
  </si>
  <si>
    <t>ГП "Калугаоблводоканал"</t>
  </si>
  <si>
    <t>_______________Грошев А.В.</t>
  </si>
  <si>
    <t>на проектно-изыскательские работы</t>
  </si>
  <si>
    <t>Выполнение проектно-изыскательских работ по объекту: «Сети водоотведения для подключения тренировочной площадки, расположенной по адресу: г. Калуга, Тульское шоссе»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</si>
</sst>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50" applyFont="1" applyBorder="1">
      <alignment horizontal="center"/>
      <protection/>
    </xf>
    <xf numFmtId="0" fontId="7" fillId="0" borderId="0" xfId="150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153" applyFont="1">
      <alignment horizontal="left" vertical="top"/>
      <protection/>
    </xf>
    <xf numFmtId="0" fontId="7" fillId="0" borderId="0" xfId="150" applyFont="1" applyBorder="1" applyAlignment="1">
      <alignment horizontal="left" vertical="top" wrapText="1"/>
      <protection/>
    </xf>
    <xf numFmtId="0" fontId="7" fillId="0" borderId="11" xfId="10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61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9" fillId="0" borderId="0" xfId="0" applyFont="1" applyAlignment="1">
      <alignment horizontal="right" vertical="top"/>
    </xf>
    <xf numFmtId="0" fontId="7" fillId="0" borderId="0" xfId="150" applyFont="1" applyBorder="1" applyAlignment="1">
      <alignment wrapText="1"/>
      <protection/>
    </xf>
    <xf numFmtId="0" fontId="0" fillId="0" borderId="0" xfId="0" applyFont="1" applyAlignment="1">
      <alignment horizontal="right"/>
    </xf>
    <xf numFmtId="0" fontId="10" fillId="0" borderId="0" xfId="150" applyFont="1" applyBorder="1" applyAlignment="1">
      <alignment horizontal="left" vertical="top" wrapText="1"/>
      <protection/>
    </xf>
    <xf numFmtId="0" fontId="7" fillId="0" borderId="1" xfId="6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61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top"/>
    </xf>
    <xf numFmtId="0" fontId="8" fillId="0" borderId="0" xfId="150" applyFont="1" applyBorder="1" applyAlignment="1">
      <alignment horizontal="center" vertical="top" wrapText="1"/>
      <protection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5" fillId="0" borderId="0" xfId="150" applyFont="1" applyBorder="1" applyAlignment="1">
      <alignment horizontal="right" wrapText="1"/>
      <protection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150" applyFont="1">
      <alignment horizontal="center"/>
      <protection/>
    </xf>
    <xf numFmtId="0" fontId="7" fillId="0" borderId="0" xfId="0" applyFont="1" applyAlignment="1">
      <alignment horizontal="center"/>
    </xf>
  </cellXfs>
  <cellStyles count="1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тМТСН 6" xfId="39"/>
    <cellStyle name="АктМТСН 7" xfId="40"/>
    <cellStyle name="АктМТСН 8" xfId="41"/>
    <cellStyle name="АктМТСН 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едРесурсов" xfId="50"/>
    <cellStyle name="ВедРесурсовАкт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Итоги" xfId="61"/>
    <cellStyle name="ИтогоАктБазЦ" xfId="62"/>
    <cellStyle name="ИтогоАктБИМ" xfId="63"/>
    <cellStyle name="ИтогоАктБИМ 2" xfId="64"/>
    <cellStyle name="ИтогоАктБИМ 3" xfId="65"/>
    <cellStyle name="ИтогоАктБИМ 4" xfId="66"/>
    <cellStyle name="ИтогоАктБИМ 5" xfId="67"/>
    <cellStyle name="ИтогоАктБИМ 6" xfId="68"/>
    <cellStyle name="ИтогоАктБИМ 7" xfId="69"/>
    <cellStyle name="ИтогоАктБИМ 8" xfId="70"/>
    <cellStyle name="ИтогоАктБИМ 9" xfId="71"/>
    <cellStyle name="ИтогоАктРесМет" xfId="72"/>
    <cellStyle name="ИтогоАктРесМет 2" xfId="73"/>
    <cellStyle name="ИтогоАктРесМет 3" xfId="74"/>
    <cellStyle name="ИтогоАктРесМет 4" xfId="75"/>
    <cellStyle name="ИтогоАктРесМет 5" xfId="76"/>
    <cellStyle name="ИтогоАктРесМет 6" xfId="77"/>
    <cellStyle name="ИтогоАктРесМет 7" xfId="78"/>
    <cellStyle name="ИтогоАктРесМет 8" xfId="79"/>
    <cellStyle name="ИтогоАктРесМет 9" xfId="80"/>
    <cellStyle name="ИтогоБазЦ" xfId="81"/>
    <cellStyle name="ИтогоБИМ" xfId="82"/>
    <cellStyle name="ИтогоБИМ 2" xfId="83"/>
    <cellStyle name="ИтогоБИМ 3" xfId="84"/>
    <cellStyle name="ИтогоБИМ 4" xfId="85"/>
    <cellStyle name="ИтогоБИМ 5" xfId="86"/>
    <cellStyle name="ИтогоБИМ 6" xfId="87"/>
    <cellStyle name="ИтогоБИМ 7" xfId="88"/>
    <cellStyle name="ИтогоБИМ 8" xfId="89"/>
    <cellStyle name="ИтогоБИМ 9" xfId="90"/>
    <cellStyle name="ИтогоРесМет" xfId="91"/>
    <cellStyle name="ИтогоРесМет 2" xfId="92"/>
    <cellStyle name="ИтогоРесМет 3" xfId="93"/>
    <cellStyle name="ИтогоРесМет 4" xfId="94"/>
    <cellStyle name="ИтогоРесМет 5" xfId="95"/>
    <cellStyle name="ИтогоРесМет 6" xfId="96"/>
    <cellStyle name="ИтогоРесМет 7" xfId="97"/>
    <cellStyle name="ИтогоРесМет 8" xfId="98"/>
    <cellStyle name="ИтогоРесМет 9" xfId="99"/>
    <cellStyle name="Контрольная ячейка" xfId="100"/>
    <cellStyle name="ЛокСмета" xfId="101"/>
    <cellStyle name="ЛокСмМТСН" xfId="102"/>
    <cellStyle name="ЛокСмМТСН 2" xfId="103"/>
    <cellStyle name="ЛокСмМТСН 3" xfId="104"/>
    <cellStyle name="ЛокСмМТСН 4" xfId="105"/>
    <cellStyle name="ЛокСмМТСН 5" xfId="106"/>
    <cellStyle name="ЛокСмМТСН 6" xfId="107"/>
    <cellStyle name="ЛокСмМТСН 7" xfId="108"/>
    <cellStyle name="ЛокСмМТСН 8" xfId="109"/>
    <cellStyle name="ЛокСмМТСН 9" xfId="110"/>
    <cellStyle name="М29" xfId="111"/>
    <cellStyle name="М29 2" xfId="112"/>
    <cellStyle name="М29 3" xfId="113"/>
    <cellStyle name="М29 4" xfId="114"/>
    <cellStyle name="М29 5" xfId="115"/>
    <cellStyle name="М29 6" xfId="116"/>
    <cellStyle name="М29 7" xfId="117"/>
    <cellStyle name="М29 8" xfId="118"/>
    <cellStyle name="М29 9" xfId="119"/>
    <cellStyle name="Название" xfId="120"/>
    <cellStyle name="Нейтральный" xfId="121"/>
    <cellStyle name="ОбСмета" xfId="122"/>
    <cellStyle name="ОбСмета 2" xfId="123"/>
    <cellStyle name="ОбСмета 3" xfId="124"/>
    <cellStyle name="ОбСмета 4" xfId="125"/>
    <cellStyle name="ОбСмета 5" xfId="126"/>
    <cellStyle name="ОбСмета 6" xfId="127"/>
    <cellStyle name="ОбСмета 7" xfId="128"/>
    <cellStyle name="ОбСмета 8" xfId="129"/>
    <cellStyle name="ОбСмета 9" xfId="130"/>
    <cellStyle name="Параметр" xfId="131"/>
    <cellStyle name="ПеременныеСметы" xfId="132"/>
    <cellStyle name="Плохой" xfId="133"/>
    <cellStyle name="Пояснение" xfId="134"/>
    <cellStyle name="Примечание" xfId="135"/>
    <cellStyle name="Percent" xfId="136"/>
    <cellStyle name="РесСмета" xfId="137"/>
    <cellStyle name="СводкаСтоимРаб" xfId="138"/>
    <cellStyle name="СводРасч" xfId="139"/>
    <cellStyle name="СводРасч 2" xfId="140"/>
    <cellStyle name="СводРасч 3" xfId="141"/>
    <cellStyle name="СводРасч 4" xfId="142"/>
    <cellStyle name="СводРасч 5" xfId="143"/>
    <cellStyle name="СводРасч 6" xfId="144"/>
    <cellStyle name="СводРасч 7" xfId="145"/>
    <cellStyle name="СводРасч 8" xfId="146"/>
    <cellStyle name="СводРасч 9" xfId="147"/>
    <cellStyle name="Связанная ячейка" xfId="148"/>
    <cellStyle name="Текст предупреждения" xfId="149"/>
    <cellStyle name="Титул" xfId="150"/>
    <cellStyle name="Comma" xfId="151"/>
    <cellStyle name="Comma [0]" xfId="152"/>
    <cellStyle name="Хвост" xfId="153"/>
    <cellStyle name="Хороший" xfId="154"/>
    <cellStyle name="Экспертиза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34"/>
      <c r="B1" s="34"/>
      <c r="C1" s="52" t="s">
        <v>50</v>
      </c>
      <c r="D1" s="52"/>
      <c r="E1" s="52"/>
      <c r="F1" s="52"/>
      <c r="G1" s="52"/>
      <c r="H1" s="52"/>
      <c r="I1" s="52"/>
      <c r="J1" s="52"/>
      <c r="K1" s="52"/>
      <c r="L1" s="52"/>
    </row>
    <row r="2" spans="1:24" ht="15">
      <c r="A2" s="29"/>
      <c r="B2" s="29"/>
      <c r="C2" s="53" t="s">
        <v>47</v>
      </c>
      <c r="D2" s="53"/>
      <c r="E2" s="53"/>
      <c r="F2" s="53"/>
      <c r="G2" s="53"/>
      <c r="H2" s="53"/>
      <c r="I2" s="53"/>
      <c r="J2" s="53"/>
      <c r="K2" s="53"/>
      <c r="L2" s="53"/>
      <c r="M2" s="27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</row>
    <row r="3" spans="1:24" ht="14.25" customHeight="1">
      <c r="A3" s="29"/>
      <c r="B3" s="29"/>
      <c r="C3" s="35"/>
      <c r="D3" s="41" t="s">
        <v>51</v>
      </c>
      <c r="E3" s="41"/>
      <c r="F3" s="41"/>
      <c r="G3" s="41"/>
      <c r="H3" s="41"/>
      <c r="I3" s="41"/>
      <c r="J3" s="41"/>
      <c r="K3" s="41"/>
      <c r="L3" s="41"/>
      <c r="M3" s="26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</row>
    <row r="4" spans="1:24" ht="14.25" customHeight="1">
      <c r="A4" s="29"/>
      <c r="B4" s="29"/>
      <c r="C4" s="54" t="s">
        <v>52</v>
      </c>
      <c r="D4" s="54"/>
      <c r="E4" s="54"/>
      <c r="F4" s="54"/>
      <c r="G4" s="54"/>
      <c r="H4" s="54"/>
      <c r="I4" s="54"/>
      <c r="J4" s="54"/>
      <c r="K4" s="54"/>
      <c r="L4" s="54"/>
      <c r="M4" s="26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</row>
    <row r="5" spans="1:24" ht="39.75" customHeight="1">
      <c r="A5" s="29"/>
      <c r="B5" s="29"/>
      <c r="C5" s="55" t="s">
        <v>53</v>
      </c>
      <c r="D5" s="55"/>
      <c r="E5" s="55"/>
      <c r="F5" s="55"/>
      <c r="G5" s="55"/>
      <c r="H5" s="55"/>
      <c r="I5" s="55"/>
      <c r="J5" s="55"/>
      <c r="K5" s="55"/>
      <c r="L5" s="55"/>
      <c r="M5" s="25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</row>
    <row r="6" spans="1:24" ht="15">
      <c r="A6" s="29"/>
      <c r="B6" s="29"/>
      <c r="C6" s="24"/>
      <c r="D6" s="42"/>
      <c r="E6" s="42"/>
      <c r="F6" s="42"/>
      <c r="G6" s="42"/>
      <c r="H6" s="42"/>
      <c r="I6" s="42"/>
      <c r="J6" s="42"/>
      <c r="K6" s="42"/>
      <c r="L6" s="4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</row>
    <row r="7" spans="1:4" ht="15">
      <c r="A7" s="11"/>
      <c r="B7" s="11"/>
      <c r="C7" s="11"/>
      <c r="D7" s="11"/>
    </row>
    <row r="8" spans="1:12" ht="18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57" t="s">
        <v>54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8.25" customHeight="1">
      <c r="A11" s="43" t="s">
        <v>55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 t="s">
        <v>6</v>
      </c>
    </row>
    <row r="13" spans="1:12" s="6" customFormat="1" ht="120">
      <c r="A13" s="5" t="s">
        <v>0</v>
      </c>
      <c r="B13" s="5" t="s">
        <v>2</v>
      </c>
      <c r="C13" s="5" t="s">
        <v>3</v>
      </c>
      <c r="D13" s="5" t="s">
        <v>4</v>
      </c>
      <c r="E13" s="5"/>
      <c r="F13" s="5"/>
      <c r="G13" s="5"/>
      <c r="H13" s="5"/>
      <c r="I13" s="5"/>
      <c r="J13" s="5"/>
      <c r="K13" s="5"/>
      <c r="L13" s="5" t="s">
        <v>5</v>
      </c>
    </row>
    <row r="14" spans="1:12" ht="15">
      <c r="A14" s="12">
        <v>1</v>
      </c>
      <c r="B14" s="12">
        <v>2</v>
      </c>
      <c r="C14" s="12">
        <v>3</v>
      </c>
      <c r="D14" s="12">
        <v>4</v>
      </c>
      <c r="E14" s="12"/>
      <c r="F14" s="12"/>
      <c r="G14" s="12"/>
      <c r="H14" s="12"/>
      <c r="I14" s="12"/>
      <c r="J14" s="12"/>
      <c r="K14" s="12"/>
      <c r="L14" s="12">
        <v>5</v>
      </c>
    </row>
    <row r="15" spans="1:12" s="7" customFormat="1" ht="16.5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7" s="9" customFormat="1" ht="180">
      <c r="A16" s="13">
        <v>1</v>
      </c>
      <c r="B16" s="14" t="s">
        <v>7</v>
      </c>
      <c r="C16" s="30" t="s">
        <v>34</v>
      </c>
      <c r="D16" s="15" t="s">
        <v>31</v>
      </c>
      <c r="E16" s="16">
        <v>1</v>
      </c>
      <c r="F16" s="16" t="str">
        <f ca="1">IF(INDIRECT("J"&amp;ROW())="текущие цены",IF(INDIRECT("G"&amp;ROW())="","0","0"),IF(INDIRECT("G"&amp;ROW())="","23100","33000"))</f>
        <v>33000</v>
      </c>
      <c r="G16" s="16">
        <v>0.7</v>
      </c>
      <c r="H16" s="16"/>
      <c r="I16" s="16"/>
      <c r="J16" s="16" t="s">
        <v>8</v>
      </c>
      <c r="K16" s="16" t="s">
        <v>9</v>
      </c>
      <c r="L16" s="17">
        <v>207.836</v>
      </c>
      <c r="M16" s="7"/>
      <c r="N16" s="7"/>
      <c r="O16" s="7"/>
      <c r="P16" s="7"/>
      <c r="Q16" s="7"/>
    </row>
    <row r="17" spans="1:17" ht="15">
      <c r="A17" s="48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17">
        <f>207836/1000</f>
        <v>207.836</v>
      </c>
      <c r="M17" s="7"/>
      <c r="N17" s="7"/>
      <c r="O17" s="7"/>
      <c r="P17" s="7"/>
      <c r="Q17" s="7"/>
    </row>
    <row r="18" spans="1:17" ht="15.75">
      <c r="A18" s="44" t="s">
        <v>10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22">
        <f>814717/1000</f>
        <v>814.717</v>
      </c>
      <c r="M18" s="7"/>
      <c r="N18" s="7"/>
      <c r="O18" s="7"/>
      <c r="P18" s="7"/>
      <c r="Q18" s="7"/>
    </row>
    <row r="19" spans="1:17" ht="16.5">
      <c r="A19" s="46" t="s">
        <v>32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"/>
      <c r="N19" s="7"/>
      <c r="O19" s="7"/>
      <c r="P19" s="7"/>
      <c r="Q19" s="7"/>
    </row>
    <row r="20" spans="1:17" ht="120">
      <c r="A20" s="13">
        <v>2</v>
      </c>
      <c r="B20" s="14" t="s">
        <v>11</v>
      </c>
      <c r="C20" s="30" t="s">
        <v>35</v>
      </c>
      <c r="D20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((920+650)/1000) * 12076 * 1,75*1,005</v>
      </c>
      <c r="E20" s="16">
        <v>1.57</v>
      </c>
      <c r="F20" s="16" t="str">
        <f ca="1">IF(INDIRECT("J"&amp;ROW())="текущие цены",IF(INDIRECT("G"&amp;ROW())="","0","0"),IF(INDIRECT("G"&amp;ROW())="","21238.67","12076"))</f>
        <v>12076</v>
      </c>
      <c r="G20" s="16" t="s">
        <v>12</v>
      </c>
      <c r="H20" s="16" t="s">
        <v>13</v>
      </c>
      <c r="I20" s="16"/>
      <c r="J20" s="16" t="s">
        <v>8</v>
      </c>
      <c r="K20" s="16" t="s">
        <v>14</v>
      </c>
      <c r="L20" s="17">
        <f ca="1">IF(INDIRECT("J"&amp;ROW())="текущие цены",0/1000,33345/1000)</f>
        <v>33.345</v>
      </c>
      <c r="M20" s="7"/>
      <c r="N20" s="7"/>
      <c r="O20" s="7"/>
      <c r="P20" s="7"/>
      <c r="Q20" s="7"/>
    </row>
    <row r="21" spans="1:17" ht="210">
      <c r="A21" s="18">
        <v>3</v>
      </c>
      <c r="B21" s="19" t="s">
        <v>15</v>
      </c>
      <c r="C21" s="31" t="s">
        <v>36</v>
      </c>
      <c r="D21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1,57 * 5327 * 1,2*1,06*1,15</v>
      </c>
      <c r="E21" s="21">
        <v>1.57</v>
      </c>
      <c r="F21" s="21" t="str">
        <f ca="1">IF(INDIRECT("J"&amp;ROW())="текущие цены",IF(INDIRECT("G"&amp;ROW())="","0","0"),IF(INDIRECT("G"&amp;ROW())="","7792.34","5327"))</f>
        <v>5327</v>
      </c>
      <c r="G21" s="21" t="s">
        <v>16</v>
      </c>
      <c r="H21" s="21"/>
      <c r="I21" s="21"/>
      <c r="J21" s="21" t="s">
        <v>8</v>
      </c>
      <c r="K21" s="21" t="s">
        <v>17</v>
      </c>
      <c r="L21" s="22">
        <f ca="1">IF(INDIRECT("J"&amp;ROW())="текущие цены",0/1000,12234/1000)</f>
        <v>12.234</v>
      </c>
      <c r="M21" s="7"/>
      <c r="N21" s="7"/>
      <c r="O21" s="7"/>
      <c r="P21" s="7"/>
      <c r="Q21" s="7"/>
    </row>
    <row r="22" spans="1:17" ht="15">
      <c r="A22" s="48" t="s">
        <v>45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7">
        <f>45579/1000</f>
        <v>45.579</v>
      </c>
      <c r="M22" s="7"/>
      <c r="N22" s="7"/>
      <c r="O22" s="7"/>
      <c r="P22" s="7"/>
      <c r="Q22" s="7"/>
    </row>
    <row r="23" spans="1:17" ht="15.75">
      <c r="A23" s="44" t="s">
        <v>18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22">
        <f>179125/1000</f>
        <v>179.125</v>
      </c>
      <c r="M23" s="7"/>
      <c r="N23" s="7"/>
      <c r="O23" s="7"/>
      <c r="P23" s="7"/>
      <c r="Q23" s="7"/>
    </row>
    <row r="24" spans="1:17" ht="16.5">
      <c r="A24" s="46" t="s">
        <v>33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N24" s="7"/>
      <c r="O24" s="7"/>
      <c r="P24" s="7"/>
      <c r="Q24" s="7"/>
    </row>
    <row r="25" spans="1:17" ht="75">
      <c r="A25" s="13">
        <v>4</v>
      </c>
      <c r="B25" s="14" t="s">
        <v>19</v>
      </c>
      <c r="C25" s="30" t="s">
        <v>37</v>
      </c>
      <c r="D25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1,57 * 12.5 </v>
      </c>
      <c r="E25" s="16">
        <v>1.57</v>
      </c>
      <c r="F25" s="16" t="str">
        <f ca="1">IF(INDIRECT("J"&amp;ROW())="текущие цены",IF(INDIRECT("G"&amp;ROW())="","0","0"),IF(INDIRECT("G"&amp;ROW())="","12.5","12.5"))</f>
        <v>12.5</v>
      </c>
      <c r="G25" s="16"/>
      <c r="H25" s="16"/>
      <c r="I25" s="16"/>
      <c r="J25" s="16" t="s">
        <v>8</v>
      </c>
      <c r="K25" s="16"/>
      <c r="L25" s="17">
        <f ca="1">IF(INDIRECT("J"&amp;ROW())="текущие цены",0/1000,20/1000)</f>
        <v>0.02</v>
      </c>
      <c r="M25" s="7"/>
      <c r="N25" s="7"/>
      <c r="O25" s="7"/>
      <c r="P25" s="7"/>
      <c r="Q25" s="7"/>
    </row>
    <row r="26" spans="1:17" ht="90">
      <c r="A26" s="13">
        <v>5</v>
      </c>
      <c r="B26" s="14" t="s">
        <v>20</v>
      </c>
      <c r="C26" s="30" t="s">
        <v>38</v>
      </c>
      <c r="D26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1,57 * 1.3 </v>
      </c>
      <c r="E26" s="16">
        <v>1.57</v>
      </c>
      <c r="F26" s="16" t="str">
        <f ca="1">IF(INDIRECT("J"&amp;ROW())="текущие цены",IF(INDIRECT("G"&amp;ROW())="","0","0"),IF(INDIRECT("G"&amp;ROW())="","1.3","1.3"))</f>
        <v>1.3</v>
      </c>
      <c r="G26" s="16"/>
      <c r="H26" s="16"/>
      <c r="I26" s="16"/>
      <c r="J26" s="16" t="s">
        <v>8</v>
      </c>
      <c r="K26" s="16"/>
      <c r="L26" s="17">
        <f ca="1">IF(INDIRECT("J"&amp;ROW())="текущие цены",0/1000,2/1000)</f>
        <v>0.002</v>
      </c>
      <c r="M26" s="7"/>
      <c r="N26" s="7"/>
      <c r="O26" s="7"/>
      <c r="P26" s="7"/>
      <c r="Q26" s="7"/>
    </row>
    <row r="27" spans="1:17" ht="43.5">
      <c r="A27" s="13">
        <v>6</v>
      </c>
      <c r="B27" s="14" t="s">
        <v>21</v>
      </c>
      <c r="C27" s="30" t="s">
        <v>39</v>
      </c>
      <c r="D27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(4*8) * 36 </v>
      </c>
      <c r="E27" s="16">
        <v>32</v>
      </c>
      <c r="F27" s="16" t="str">
        <f ca="1">IF(INDIRECT("J"&amp;ROW())="текущие цены",IF(INDIRECT("G"&amp;ROW())="","0","0"),IF(INDIRECT("G"&amp;ROW())="","36","36"))</f>
        <v>36</v>
      </c>
      <c r="G27" s="16"/>
      <c r="H27" s="16" t="s">
        <v>22</v>
      </c>
      <c r="I27" s="16"/>
      <c r="J27" s="16" t="s">
        <v>8</v>
      </c>
      <c r="K27" s="16"/>
      <c r="L27" s="17">
        <f ca="1">IF(INDIRECT("J"&amp;ROW())="текущие цены",0/1000,1152/1000)</f>
        <v>1.152</v>
      </c>
      <c r="M27" s="7"/>
      <c r="N27" s="7"/>
      <c r="O27" s="7"/>
      <c r="P27" s="7"/>
      <c r="Q27" s="7"/>
    </row>
    <row r="28" spans="1:17" ht="43.5">
      <c r="A28" s="13">
        <v>7</v>
      </c>
      <c r="B28" s="14" t="s">
        <v>23</v>
      </c>
      <c r="C28" s="30" t="s">
        <v>40</v>
      </c>
      <c r="D28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8 * 19.1 </v>
      </c>
      <c r="E28" s="16">
        <v>8</v>
      </c>
      <c r="F28" s="16" t="str">
        <f ca="1">IF(INDIRECT("J"&amp;ROW())="текущие цены",IF(INDIRECT("G"&amp;ROW())="","0","0"),IF(INDIRECT("G"&amp;ROW())="","19.1","19.1"))</f>
        <v>19.1</v>
      </c>
      <c r="G28" s="16"/>
      <c r="H28" s="16"/>
      <c r="I28" s="16"/>
      <c r="J28" s="16" t="s">
        <v>8</v>
      </c>
      <c r="K28" s="16"/>
      <c r="L28" s="17">
        <f ca="1">IF(INDIRECT("J"&amp;ROW())="текущие цены",0/1000,153/1000)</f>
        <v>0.153</v>
      </c>
      <c r="M28" s="7"/>
      <c r="N28" s="7"/>
      <c r="O28" s="7"/>
      <c r="P28" s="7"/>
      <c r="Q28" s="7"/>
    </row>
    <row r="29" spans="1:17" ht="43.5">
      <c r="A29" s="18">
        <v>8</v>
      </c>
      <c r="B29" s="19" t="s">
        <v>24</v>
      </c>
      <c r="C29" s="31" t="s">
        <v>41</v>
      </c>
      <c r="D29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8 * 39.9 </v>
      </c>
      <c r="E29" s="21">
        <v>8</v>
      </c>
      <c r="F29" s="21" t="str">
        <f ca="1">IF(INDIRECT("J"&amp;ROW())="текущие цены",IF(INDIRECT("G"&amp;ROW())="","0","0"),IF(INDIRECT("G"&amp;ROW())="","39.9","39.9"))</f>
        <v>39.9</v>
      </c>
      <c r="G29" s="21"/>
      <c r="H29" s="21"/>
      <c r="I29" s="21"/>
      <c r="J29" s="21" t="s">
        <v>8</v>
      </c>
      <c r="K29" s="21"/>
      <c r="L29" s="22">
        <f ca="1">IF(INDIRECT("J"&amp;ROW())="текущие цены",0/1000,319/1000)</f>
        <v>0.319</v>
      </c>
      <c r="M29" s="7"/>
      <c r="N29" s="7"/>
      <c r="O29" s="7"/>
      <c r="P29" s="7"/>
      <c r="Q29" s="7"/>
    </row>
    <row r="30" spans="1:17" ht="15">
      <c r="A30" s="4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7">
        <f>1646/1000</f>
        <v>1.646</v>
      </c>
      <c r="M30" s="7"/>
      <c r="N30" s="7"/>
      <c r="O30" s="7"/>
      <c r="P30" s="7"/>
      <c r="Q30" s="7"/>
    </row>
    <row r="31" spans="1:17" ht="15">
      <c r="A31" s="44" t="s">
        <v>25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22">
        <f>73247/1000</f>
        <v>73.247</v>
      </c>
      <c r="M31" s="7"/>
      <c r="N31" s="7"/>
      <c r="O31" s="7"/>
      <c r="P31" s="7"/>
      <c r="Q31" s="7"/>
    </row>
    <row r="32" spans="1:17" ht="15">
      <c r="A32" s="37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3">
        <f>255061/1000</f>
        <v>255.061</v>
      </c>
      <c r="M32" s="7"/>
      <c r="N32" s="7"/>
      <c r="O32" s="7"/>
      <c r="P32" s="7"/>
      <c r="Q32" s="7"/>
    </row>
    <row r="33" spans="1:17" ht="15">
      <c r="A33" s="39" t="s">
        <v>26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23"/>
      <c r="M33" s="7"/>
      <c r="N33" s="7"/>
      <c r="O33" s="7"/>
      <c r="P33" s="7"/>
      <c r="Q33" s="7"/>
    </row>
    <row r="34" spans="1:17" ht="15">
      <c r="A34" s="37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3">
        <f>814717/1000</f>
        <v>814.717</v>
      </c>
      <c r="M34" s="7"/>
      <c r="N34" s="7"/>
      <c r="O34" s="7"/>
      <c r="P34" s="7"/>
      <c r="Q34" s="7"/>
    </row>
    <row r="35" spans="1:17" ht="1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23">
        <f>179125/1000</f>
        <v>179.125</v>
      </c>
      <c r="M35" s="7"/>
      <c r="N35" s="7"/>
      <c r="O35" s="7"/>
      <c r="P35" s="7"/>
      <c r="Q35" s="7"/>
    </row>
    <row r="36" spans="1:17" ht="15">
      <c r="A36" s="37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23">
        <f>73247/1000</f>
        <v>73.247</v>
      </c>
      <c r="M36" s="7"/>
      <c r="N36" s="7"/>
      <c r="O36" s="7"/>
      <c r="P36" s="7"/>
      <c r="Q36" s="7"/>
    </row>
    <row r="37" spans="1:17" ht="15">
      <c r="A37" s="37" t="s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23">
        <f>1067089/1000</f>
        <v>1067.089</v>
      </c>
      <c r="M37" s="7"/>
      <c r="N37" s="7"/>
      <c r="O37" s="7"/>
      <c r="P37" s="7"/>
      <c r="Q37" s="7"/>
    </row>
    <row r="38" spans="1:17" ht="15">
      <c r="A38" s="37" t="s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23">
        <f>192076/1000</f>
        <v>192.076</v>
      </c>
      <c r="M38" s="7"/>
      <c r="N38" s="7"/>
      <c r="O38" s="7"/>
      <c r="P38" s="7"/>
      <c r="Q38" s="7"/>
    </row>
    <row r="39" spans="1:17" ht="15">
      <c r="A39" s="39" t="s">
        <v>29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23">
        <f>1259165/1000</f>
        <v>1259.165</v>
      </c>
      <c r="M39" s="7"/>
      <c r="N39" s="7"/>
      <c r="O39" s="7"/>
      <c r="P39" s="7"/>
      <c r="Q39" s="7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9"/>
      <c r="O40" s="9"/>
      <c r="P40" s="9"/>
      <c r="Q40" s="9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">
      <c r="B42" s="2"/>
      <c r="C42" s="10"/>
      <c r="D42" s="2"/>
      <c r="E42" s="2"/>
      <c r="F42" s="2"/>
      <c r="G42" s="2"/>
      <c r="H42" s="2"/>
      <c r="I42" s="2"/>
      <c r="J42" s="2"/>
      <c r="K42" s="2"/>
      <c r="L42" s="2"/>
    </row>
    <row r="43" spans="1:25" ht="15">
      <c r="A43" s="49" t="s">
        <v>48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33"/>
      <c r="O43" s="33"/>
      <c r="P43" s="33"/>
      <c r="Q43" s="33"/>
      <c r="R43" s="32"/>
      <c r="S43" s="32"/>
      <c r="T43" s="32"/>
      <c r="U43" s="32"/>
      <c r="V43" s="32"/>
      <c r="W43" s="32"/>
      <c r="X43" s="32"/>
      <c r="Y43" s="32"/>
    </row>
    <row r="44" spans="1:25" ht="15">
      <c r="A44" s="51" t="s">
        <v>49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33"/>
      <c r="O44" s="33"/>
      <c r="P44" s="33"/>
      <c r="Q44" s="33"/>
      <c r="R44" s="32"/>
      <c r="S44" s="32"/>
      <c r="T44" s="32"/>
      <c r="U44" s="32"/>
      <c r="V44" s="32"/>
      <c r="W44" s="32"/>
      <c r="X44" s="32"/>
      <c r="Y44" s="32"/>
    </row>
    <row r="45" spans="2:12" ht="15">
      <c r="B45" s="2"/>
      <c r="C45" s="10"/>
      <c r="D45" s="2"/>
      <c r="E45" s="2"/>
      <c r="F45" s="2"/>
      <c r="G45" s="2"/>
      <c r="H45" s="2"/>
      <c r="I45" s="2"/>
      <c r="J45" s="2"/>
      <c r="K45" s="2"/>
      <c r="L45" s="2"/>
    </row>
    <row r="47" spans="1:12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</sheetData>
  <sheetProtection/>
  <mergeCells count="29">
    <mergeCell ref="A43:M43"/>
    <mergeCell ref="A44:M44"/>
    <mergeCell ref="C1:L1"/>
    <mergeCell ref="C2:L2"/>
    <mergeCell ref="C4:L4"/>
    <mergeCell ref="C5:L5"/>
    <mergeCell ref="A8:L8"/>
    <mergeCell ref="A9:L9"/>
    <mergeCell ref="A15:L15"/>
    <mergeCell ref="A22:K22"/>
    <mergeCell ref="A23:K23"/>
    <mergeCell ref="A24:L24"/>
    <mergeCell ref="A30:K30"/>
    <mergeCell ref="A47:L47"/>
    <mergeCell ref="A37:K37"/>
    <mergeCell ref="A38:K38"/>
    <mergeCell ref="A39:K39"/>
    <mergeCell ref="D3:L3"/>
    <mergeCell ref="D6:L6"/>
    <mergeCell ref="A11:L11"/>
    <mergeCell ref="A31:K31"/>
    <mergeCell ref="A32:K32"/>
    <mergeCell ref="A33:K33"/>
    <mergeCell ref="A34:K34"/>
    <mergeCell ref="A35:K35"/>
    <mergeCell ref="A36:K36"/>
    <mergeCell ref="A18:K18"/>
    <mergeCell ref="A19:L19"/>
    <mergeCell ref="A17:K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e.plahova</cp:lastModifiedBy>
  <cp:lastPrinted>2009-02-02T07:59:09Z</cp:lastPrinted>
  <dcterms:created xsi:type="dcterms:W3CDTF">2007-02-21T08:42:24Z</dcterms:created>
  <dcterms:modified xsi:type="dcterms:W3CDTF">2016-09-19T10:48:32Z</dcterms:modified>
  <cp:category/>
  <cp:version/>
  <cp:contentType/>
  <cp:contentStatus/>
</cp:coreProperties>
</file>