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5940" windowWidth="15480" windowHeight="5775" activeTab="0"/>
  </bookViews>
  <sheets>
    <sheet name="Мои данные" sheetId="1" r:id="rId1"/>
  </sheets>
  <definedNames>
    <definedName name="_xlnm.Print_Titles" localSheetId="0">'Мои данные'!$10:$10</definedName>
    <definedName name="_xlnm.Print_Area" localSheetId="0">'Мои данные'!$A$2:$L$66</definedName>
  </definedNames>
  <calcPr fullCalcOnLoad="1"/>
</workbook>
</file>

<file path=xl/comments1.xml><?xml version="1.0" encoding="utf-8"?>
<comments xmlns="http://schemas.openxmlformats.org/spreadsheetml/2006/main">
  <authors>
    <author>Сергей</author>
    <author>Alex Sosedko</author>
    <author>Alex</author>
  </authors>
  <commentList>
    <comment ref="A5" authorId="0">
      <text>
        <r>
          <rPr>
            <sz val="8"/>
            <rFont val="Tahoma"/>
            <family val="2"/>
          </rPr>
          <t xml:space="preserve"> &lt;Индекс/ЛН расчета&gt;</t>
        </r>
      </text>
    </comment>
    <comment ref="A10" authorId="0">
      <text>
        <r>
          <rPr>
            <sz val="8"/>
            <rFont val="Tahoma"/>
            <family val="2"/>
          </rPr>
          <t xml:space="preserve"> &lt;Номер позиции по смете&gt;</t>
        </r>
      </text>
    </comment>
    <comment ref="B10" authorId="0">
      <text>
        <r>
          <rPr>
            <sz val="8"/>
            <rFont val="Tahoma"/>
            <family val="2"/>
          </rPr>
          <t xml:space="preserve"> &lt;Наименование (текстовая часть) расценки&gt;</t>
        </r>
      </text>
    </comment>
    <comment ref="C10" authorId="1">
      <text>
        <r>
          <rPr>
            <sz val="8"/>
            <rFont val="Tahoma"/>
            <family val="2"/>
          </rPr>
          <t xml:space="preserve"> &lt;Обоснование (код) позиции&gt;
&lt;Комментарии из базы данных к расценке&gt;
Примечание: &lt;Примечание&gt;</t>
        </r>
      </text>
    </comment>
    <comment ref="A59" authorId="0">
      <text>
        <r>
          <rPr>
            <sz val="8"/>
            <rFont val="Tahoma"/>
            <family val="2"/>
          </rPr>
          <t xml:space="preserve"> &lt;Текстовая часть (итоги)&gt;</t>
        </r>
      </text>
    </comment>
    <comment ref="L59" authorId="0">
      <text>
        <r>
          <rPr>
            <sz val="8"/>
            <rFont val="Tahoma"/>
            <family val="2"/>
          </rPr>
          <t xml:space="preserve"> =&lt;Прямые затраты (итоги)&gt;/1000</t>
        </r>
      </text>
    </comment>
    <comment ref="E10" authorId="0">
      <text>
        <r>
          <rPr>
            <sz val="8"/>
            <rFont val="Tahoma"/>
            <family val="2"/>
          </rPr>
          <t xml:space="preserve"> &lt;Количество всего (физ. объем) по позиции&gt;</t>
        </r>
      </text>
    </comment>
    <comment ref="F10" authorId="0">
      <text>
        <r>
          <rPr>
            <sz val="8"/>
            <rFont val="Tahoma"/>
            <family val="2"/>
          </rPr>
          <t xml:space="preserve"> =IF(INDIRECT("J" &amp; ROW())="текущие цены", IF(INDIRECT("G" &amp; ROW())="", "&lt;ПЗ по позиции на единицу в текущих ценах с учетом всех к-тов&gt;", "&lt;ПЗ по позиции на единицу в текущих ценах&gt;"), IF(INDIRECT("G" &amp; ROW())="", "&lt;ПЗ по позиции на единицу в базисных ценах с учетом всех к-тов&gt;","&lt;ПЗ по позиции на единицу в базисных ценах&gt;")) </t>
        </r>
      </text>
    </comment>
    <comment ref="G10" authorId="0">
      <text>
        <r>
          <rPr>
            <sz val="8"/>
            <rFont val="Tahoma"/>
            <family val="2"/>
          </rPr>
          <t xml:space="preserve"> &lt;К-т к позиции на прямые затраты&gt;</t>
        </r>
      </text>
    </comment>
    <comment ref="H10" authorId="0">
      <text>
        <r>
          <rPr>
            <sz val="8"/>
            <rFont val="Tahoma"/>
            <family val="2"/>
          </rPr>
          <t xml:space="preserve"> &lt;Формула расчета физ. объема&gt;</t>
        </r>
      </text>
    </comment>
    <comment ref="L10" authorId="2">
      <text>
        <r>
          <rPr>
            <b/>
            <sz val="8"/>
            <rFont val="Tahoma"/>
            <family val="2"/>
          </rPr>
          <t xml:space="preserve"> =IF(INDIRECT("J" &amp; ROW())="текущие цены", &lt;ИТОГО ПЗ по позиции в текущих ценах&gt;/1000, &lt;ИТОГО ПЗ по позиции для БИМ&gt;/1000) 
</t>
        </r>
      </text>
    </comment>
    <comment ref="I10" authorId="0">
      <text>
        <r>
          <rPr>
            <sz val="8"/>
            <rFont val="Tahoma"/>
            <family val="2"/>
          </rPr>
          <t xml:space="preserve"> &lt;Формула расчета стоимости единицы&gt;</t>
        </r>
      </text>
    </comment>
    <comment ref="D10" authorId="0">
      <text>
        <r>
          <rPr>
            <sz val="8"/>
            <rFont val="Tahoma"/>
            <family val="2"/>
          </rPr>
          <t xml:space="preserve"> =IF(INDIRECT("H"&amp;ROW())="",INDIRECT("E"&amp;ROW()),"(" &amp; INDIRECT("H"&amp;ROW())&amp;")")&amp;IF(INDIRECT("F"&amp;ROW())="0", " * 0", IF(INDIRECT("F"&amp;ROW())="", IF(INDIRECT("I"&amp;ROW())=""," "," * "&amp;INDIRECT("I"&amp;ROW())), " * "&amp;INDIRECT("F"&amp;ROW())))&amp;IF(INDIRECT("G"&amp;ROW())="", " ", " * "&amp;INDIRECT("G"&amp;ROW()))&lt;Пустой идентификатор&gt;</t>
        </r>
      </text>
    </comment>
    <comment ref="J10" authorId="1">
      <text>
        <r>
          <rPr>
            <b/>
            <sz val="8"/>
            <rFont val="Tahoma"/>
            <family val="2"/>
          </rPr>
          <t xml:space="preserve"> &lt;Уровень цен позиции&gt;</t>
        </r>
      </text>
    </comment>
    <comment ref="K10" authorId="1">
      <text>
        <r>
          <rPr>
            <sz val="8"/>
            <rFont val="Tahoma"/>
            <family val="2"/>
          </rPr>
          <t xml:space="preserve"> &lt;Обоснование коэффициентов&gt;</t>
        </r>
      </text>
    </comment>
  </commentList>
</comments>
</file>

<file path=xl/sharedStrings.xml><?xml version="1.0" encoding="utf-8"?>
<sst xmlns="http://schemas.openxmlformats.org/spreadsheetml/2006/main" count="119" uniqueCount="84">
  <si>
    <t>№ пп</t>
  </si>
  <si>
    <t>Характеристика предприятия,
здания, сооружения или вид работ</t>
  </si>
  <si>
    <t>Номер частей, глав, таблиц,
параграфов и пунктов указаний к
разделу справочника базовых цен
на проектные и изыскательские
работы для строителей</t>
  </si>
  <si>
    <t>Расчет стоимости: (a+bx)*Kj или
(стоимость
строительно-монтажных
работ)*проц./ 100 или количество * цена</t>
  </si>
  <si>
    <t>Наблюдения при передвижении по маршруту при составлении инженерно-геологической,гидрогеологической, почвенной, инженерно-экологической карты в масштабе 1:2000-1:1000: проходимость удовлетворительная, полевые работы</t>
  </si>
  <si>
    <t>1,196*1,06*1,1875</t>
  </si>
  <si>
    <t>цены 2001</t>
  </si>
  <si>
    <t>(СБЦИ5 табл.5 п.2.Расходы по внешнему транспорту в обоих направлениях при расстоянии проезда и перевозки в одном направлении св. 100 до 300 км, при экспедиционных условиях продолжительностью до 1 мес. ПЗ=19,6%;
СБЦИ5 п.13 ОУ.Расходы по организации и ликвидации работ на объекте ПЗ=6%;
СБЦИ5 табл.4 п.5.Расходы по внутреннему транспорту при расстоянии от базы изыск. организации, партии, отряда до участка изысканий св. 20 до 30 км, при сметной стоимости полевых изыскательских работ до 75 тыс. руб. ПЗ=18,75%)</t>
  </si>
  <si>
    <t>Описание точек наблюдений при составлении инженерно-экологических карт, категория сложности 1: категория сложности 2, полевые работы</t>
  </si>
  <si>
    <t>1,3*1,15*1,196*1,06*1,1875</t>
  </si>
  <si>
    <t>(прим.1гидрогеологическая карта для целей водоснабжения с установлением границ зон санитарной охраны ПЗ=1,3;
прим.3на застроенную территорию (города, промышленные объекты и др.), участки свалок, насыпных грунтов ПЗ=1,15;
СБЦИ5 табл.5 п.2.Расходы по внешнему транспорту в обоих направлениях при расстоянии проезда и перевозки в одном направлении св. 100 до 300 км, при экспедиционных условиях продолжительностью до 1 мес. ПЗ=19,6%;
СБЦИ5 п.13 ОУ.Расходы по организации и ликвидации работ на объекте ПЗ=6%;
СБЦИ5 табл.4 п.5.Расходы по внутреннему транспорту при расстоянии от базы изыск. организации, партии, отряда до участка изысканий св. 20 до 30 км, при сметной стоимости полевых изыскательских работ до 75 тыс. руб. ПЗ=18,75%)</t>
  </si>
  <si>
    <t>Отбор точечных проб для анализа на загрязненность по химическим показателям: почво-грунтов (методами конверта, по диагонали и т.п.)</t>
  </si>
  <si>
    <t>Радиационное обследование участка площадью: св. 0.5 до 1.0га - полевые работы</t>
  </si>
  <si>
    <t>Итоги по разделу 1 инженерно-геодезические полевые  работы :</t>
  </si>
  <si>
    <t xml:space="preserve">  Инженерно-геологические и инженерно-экологические изыскания (1999)</t>
  </si>
  <si>
    <t xml:space="preserve">  Итого</t>
  </si>
  <si>
    <t>Единичные определения химического состава грунтов (почв): общее содержание органического углерода весовым методом мокрого сжигания</t>
  </si>
  <si>
    <t>Стандартный (типовой) анализ воды</t>
  </si>
  <si>
    <t>Единичные определения химического состава грунтов (почв): определение солей тяжелых металлов без пробоподготовки методом атомной абсорбции (1 металл)</t>
  </si>
  <si>
    <t>Единичные определения химического состава грунтов (почв): пробоподготовка для выполнения физико-химических исследований солей тяжелых металлов</t>
  </si>
  <si>
    <t>Единичные определения химического состава грунтов (почв): марганец, кобальт, медь и цинк подвижные в одной вытяжке</t>
  </si>
  <si>
    <t>Единичные определения химического состава грунтов (почв): определение нефтяных углеводородов хроматографическим методом</t>
  </si>
  <si>
    <t>Единичные определения химического состава грунтов (почв): определение пестицидов хроматографическим методом</t>
  </si>
  <si>
    <t>Единичные определения химического состава грунтов (почв): водородный показатель рН водной или солевой вытяжки электриметрическим методом</t>
  </si>
  <si>
    <t>Единичные определения химического состава грунтов (почв): общий (валовой) азот по Къелдалю</t>
  </si>
  <si>
    <t>Валовой анализ грунтов и почв, анализ нерастворимого остатка</t>
  </si>
  <si>
    <t>Камеральная обработка химических и бактериологических анализов на загрязненность почво-грунтов, воды, льда, снега и донных отложений при инженерно-экологических изысканиях - 20%</t>
  </si>
  <si>
    <t>Итоги по разделу 2 лабораторные работы :</t>
  </si>
  <si>
    <t xml:space="preserve">  Итого по разделу 2 лабораторные работы</t>
  </si>
  <si>
    <t>Наблюдения при передвижении по маршруту при составлении инженерно-геологической,гидрогеологической, почвенной, инженерно-экологической карты в масштабе 1:2000-1:1000: проходимость удовлетворительная, камеральные работы</t>
  </si>
  <si>
    <t>Описание точек наблюдений при составлении инженерно-экологических карт, категория сложности 1: категория сложности 2, камеральные работы</t>
  </si>
  <si>
    <t>1,3*1,15</t>
  </si>
  <si>
    <t>(прим.1гидрогеологическая карта для целей водоснабжения с установлением границ зон санитарной охраны ПЗ=1,3;
прим.3на застроенную территорию (города, промышленные объекты и др.), участки свалок, насыпных грунтов ПЗ=1,15)</t>
  </si>
  <si>
    <t>Радиационное обследование участка площадью: св. 0.5 до 1.0га - камеральные работы</t>
  </si>
  <si>
    <t>Составление программы производства работ, средняя глубина исследования: 5-10м, исследуемая площадь до 1км2</t>
  </si>
  <si>
    <t>Итоги по разделу 3 камеральные работы :</t>
  </si>
  <si>
    <t xml:space="preserve">  Итого по разделу 3 камеральные работы</t>
  </si>
  <si>
    <t>Составление технического отчета (заключения) о результатах выполненных работ (в % от стоимости камеральных работ), стоимость камеральных работ до 5 тыс. руб.: категория сложности инженерно-геологических условий 2 - 21%</t>
  </si>
  <si>
    <t>Итоги по разделу 4  :</t>
  </si>
  <si>
    <t xml:space="preserve">  Всего с учетом " "</t>
  </si>
  <si>
    <t xml:space="preserve">  Итого по разделу 4 </t>
  </si>
  <si>
    <t>Итоги по смете:</t>
  </si>
  <si>
    <t xml:space="preserve">  НДС 18%</t>
  </si>
  <si>
    <t xml:space="preserve">  ВСЕГО по смете</t>
  </si>
  <si>
    <t>Строительство станции очистки питьевой воды в с.Хвастовичи Калужской области</t>
  </si>
  <si>
    <t>инженерно-экологические изыскания</t>
  </si>
  <si>
    <t xml:space="preserve">  Всего с учетом перевод в текущие цены на 1 квартал 2015 г. 42,91</t>
  </si>
  <si>
    <t xml:space="preserve">                            лабораторные работы</t>
  </si>
  <si>
    <t xml:space="preserve">                            камеральные работы</t>
  </si>
  <si>
    <t xml:space="preserve">                            </t>
  </si>
  <si>
    <r>
      <t xml:space="preserve">СБЦИ3-10-4-2-1
</t>
    </r>
    <r>
      <rPr>
        <i/>
        <sz val="11"/>
        <rFont val="Arial"/>
        <family val="2"/>
      </rPr>
      <t>"Инж.-геологические и инж.-экологич. изыскания (1999 г.)"
(СБЦИ5 табл.5 п.2.Расходы по внешнему транспорту в обоих направлениях при расстоянии проезда и перевозки в одном направлении св. 100 до 300 км, при экспедиционных условиях продолжительностью до 1 мес. ПЗ=19,6%;
СБЦИ5 п.13 ОУ.Расходы по организации и ликвидации работ на объекте ПЗ=6%;
СБЦИ5 табл.4 п.5.Расходы по внутреннему транспорту при расстоянии от базы изыск. организации, партии, отряда до участка изысканий св. 20 до 30 км, при сметной стоимости полевых изыскательских работ до 75 тыс. руб. ПЗ=18,75%)</t>
    </r>
  </si>
  <si>
    <r>
      <t xml:space="preserve">СБЦИ3-11-2-2-1
</t>
    </r>
    <r>
      <rPr>
        <i/>
        <sz val="11"/>
        <rFont val="Arial"/>
        <family val="2"/>
      </rPr>
      <t>"Инж.-геологические и инж.-экологич. изыскания (1999 г.)"
(прим.1гидрогеологическая карта для целей водоснабжения с установлением границ зон санитарной охраны ПЗ=1,3;
прим.3на застроенную территорию (города, промышленные объекты и др.), участки свалок, насыпных грунтов ПЗ=1,15;
СБЦИ5 табл.5 п.2.Расходы по внешнему транспорту в обоих направлениях при расстоянии проезда и перевозки в одном направлении св. 100 до 300 км, при экспедиционных условиях продолжительностью до 1 мес. ПЗ=19,6%;
СБЦИ5 п.13 ОУ.Расходы по организации и ликвидации работ на объекте ПЗ=6%;
СБЦИ5 табл.4 п.5.Расходы по внутреннему транспорту при расстоянии от базы изыск. организации, партии, отряда до участка изысканий св. 20 до 30 км, при сметной стоимости полевых изыскательских работ до 75 тыс. руб. ПЗ=18,75%)</t>
    </r>
  </si>
  <si>
    <r>
      <t xml:space="preserve">СБЦИ3-60-7
</t>
    </r>
    <r>
      <rPr>
        <i/>
        <sz val="11"/>
        <rFont val="Arial"/>
        <family val="2"/>
      </rPr>
      <t>"Инж.-геологические и инж.-экологич. изыскания (1999 г.)"
(СБЦИ5 табл.5 п.2.Расходы по внешнему транспорту в обоих направлениях при расстоянии проезда и перевозки в одном направлении св. 100 до 300 км, при экспедиционных условиях продолжительностью до 1 мес. ПЗ=19,6%;
СБЦИ5 п.13 ОУ.Расходы по организации и ликвидации работ на объекте ПЗ=6%;
СБЦИ5 табл.4 п.5.Расходы по внутреннему транспорту при расстоянии от базы изыск. организации, партии, отряда до участка изысканий св. 20 до 30 км, при сметной стоимости полевых изыскательских работ до 75 тыс. руб. ПЗ=18,75%)</t>
    </r>
  </si>
  <si>
    <r>
      <t xml:space="preserve">СБЦИ3-92-2-1
</t>
    </r>
    <r>
      <rPr>
        <i/>
        <sz val="11"/>
        <rFont val="Arial"/>
        <family val="2"/>
      </rPr>
      <t>"Инж.-геологические и инж.-экологич. изыскания (1999 г.)"
(СБЦИ5 табл.5 п.2.Расходы по внешнему транспорту в обоих направлениях при расстоянии проезда и перевозки в одном направлении св. 100 до 300 км, при экспедиционных условиях продолжительностью до 1 мес. ПЗ=19,6%;
СБЦИ5 п.13 ОУ.Расходы по организации и ликвидации работ на объекте ПЗ=6%;
СБЦИ5 табл.4 п.5.Расходы по внутреннему транспорту при расстоянии от базы изыск. организации, партии, отряда до участка изысканий св. 20 до 30 км, при сметной стоимости полевых изыскательских работ до 75 тыс. руб. ПЗ=18,75%)</t>
    </r>
  </si>
  <si>
    <r>
      <t xml:space="preserve">СБЦИ3-70-1
</t>
    </r>
    <r>
      <rPr>
        <i/>
        <sz val="11"/>
        <rFont val="Arial"/>
        <family val="2"/>
      </rPr>
      <t>"Инж.-геологические и инж.-экологич. изыскания (1999 г.)"</t>
    </r>
  </si>
  <si>
    <r>
      <t xml:space="preserve">СБЦИ3-73-2
</t>
    </r>
    <r>
      <rPr>
        <i/>
        <sz val="11"/>
        <rFont val="Arial"/>
        <family val="2"/>
      </rPr>
      <t>"Инж.-геологические и инж.-экологич. изыскания (1999 г.)"</t>
    </r>
  </si>
  <si>
    <r>
      <t xml:space="preserve">СБЦИ3-70-57
</t>
    </r>
    <r>
      <rPr>
        <i/>
        <sz val="11"/>
        <rFont val="Arial"/>
        <family val="2"/>
      </rPr>
      <t>"Инж.-геологические и инж.-экологич. изыскания (1999 г.)"</t>
    </r>
  </si>
  <si>
    <r>
      <t xml:space="preserve">СБЦИ3-70-85
</t>
    </r>
    <r>
      <rPr>
        <i/>
        <sz val="11"/>
        <rFont val="Arial"/>
        <family val="2"/>
      </rPr>
      <t>"Инж.-геологические и инж.-экологич. изыскания (1999 г.)"</t>
    </r>
  </si>
  <si>
    <r>
      <t xml:space="preserve">СБЦИ3-70-52
</t>
    </r>
    <r>
      <rPr>
        <i/>
        <sz val="11"/>
        <rFont val="Arial"/>
        <family val="2"/>
      </rPr>
      <t>"Инж.-геологические и инж.-экологич. изыскания (1999 г.)"</t>
    </r>
  </si>
  <si>
    <r>
      <t xml:space="preserve">СБЦИ3-70-63
</t>
    </r>
    <r>
      <rPr>
        <i/>
        <sz val="11"/>
        <rFont val="Arial"/>
        <family val="2"/>
      </rPr>
      <t>"Инж.-геологические и инж.-экологич. изыскания (1999 г.)"</t>
    </r>
  </si>
  <si>
    <r>
      <t xml:space="preserve">СБЦИ3-70-64
</t>
    </r>
    <r>
      <rPr>
        <i/>
        <sz val="11"/>
        <rFont val="Arial"/>
        <family val="2"/>
      </rPr>
      <t>"Инж.-геологические и инж.-экологич. изыскания (1999 г.)"</t>
    </r>
  </si>
  <si>
    <r>
      <t xml:space="preserve">СБЦИ3-70-14
</t>
    </r>
    <r>
      <rPr>
        <i/>
        <sz val="11"/>
        <rFont val="Arial"/>
        <family val="2"/>
      </rPr>
      <t>"Инж.-геологические и инж.-экологич. изыскания (1999 г.)"</t>
    </r>
  </si>
  <si>
    <r>
      <t xml:space="preserve">СБЦИ3-70-15
</t>
    </r>
    <r>
      <rPr>
        <i/>
        <sz val="11"/>
        <rFont val="Arial"/>
        <family val="2"/>
      </rPr>
      <t>"Инж.-геологические и инж.-экологич. изыскания (1999 г.)"</t>
    </r>
  </si>
  <si>
    <r>
      <t xml:space="preserve">СБЦИ3-71-7
</t>
    </r>
    <r>
      <rPr>
        <i/>
        <sz val="11"/>
        <rFont val="Arial"/>
        <family val="2"/>
      </rPr>
      <t>"Инж.-геологические и инж.-экологич. изыскания (1999 г.)"</t>
    </r>
  </si>
  <si>
    <r>
      <t xml:space="preserve">СБЦИ3-86-6
</t>
    </r>
    <r>
      <rPr>
        <i/>
        <sz val="11"/>
        <rFont val="Arial"/>
        <family val="2"/>
      </rPr>
      <t>"Инж.-геологические и инж.-экологич. изыскания (1999 г.)"</t>
    </r>
  </si>
  <si>
    <r>
      <t xml:space="preserve">СБЦИ3-10-4-2-2
</t>
    </r>
    <r>
      <rPr>
        <i/>
        <sz val="11"/>
        <rFont val="Arial"/>
        <family val="2"/>
      </rPr>
      <t>"Инж.-геологические и инж.-экологич. изыскания (1999 г.)"</t>
    </r>
  </si>
  <si>
    <r>
      <t xml:space="preserve">СБЦИ3-11-2-2-2
</t>
    </r>
    <r>
      <rPr>
        <i/>
        <sz val="11"/>
        <rFont val="Arial"/>
        <family val="2"/>
      </rPr>
      <t>"Инж.-геологические и инж.-экологич. изыскания (1999 г.)"
(прим.1гидрогеологическая карта для целей водоснабжения с установлением границ зон санитарной охраны ПЗ=1,3;
прим.3на застроенную территорию (города, промышленные объекты и др.), участки свалок, насыпных грунтов ПЗ=1,15)</t>
    </r>
  </si>
  <si>
    <r>
      <t xml:space="preserve">СБЦИ3-92-2-2
</t>
    </r>
    <r>
      <rPr>
        <i/>
        <sz val="11"/>
        <rFont val="Arial"/>
        <family val="2"/>
      </rPr>
      <t>"Инж.-геологические и инж.-экологич. изыскания (1999 г.)"</t>
    </r>
  </si>
  <si>
    <r>
      <t xml:space="preserve">СБЦИ3-81-2-1
</t>
    </r>
    <r>
      <rPr>
        <i/>
        <sz val="11"/>
        <rFont val="Arial"/>
        <family val="2"/>
      </rPr>
      <t>"Инж.-геологические и инж.-экологич. изыскания (1999 г.)"</t>
    </r>
  </si>
  <si>
    <r>
      <t xml:space="preserve">СБЦИ3-87-1-2
</t>
    </r>
    <r>
      <rPr>
        <i/>
        <sz val="11"/>
        <rFont val="Arial"/>
        <family val="2"/>
      </rPr>
      <t>"Инж.-геологические и инж.-экологич. изыскания (1999 г.)"</t>
    </r>
  </si>
  <si>
    <t xml:space="preserve">  Итого перевод в текущие цены на 1 квартал 2015 г. 42,91</t>
  </si>
  <si>
    <t xml:space="preserve">  Итого " "</t>
  </si>
  <si>
    <t>Итого затраты по разделу</t>
  </si>
  <si>
    <t>Итого затраты по смете</t>
  </si>
  <si>
    <t xml:space="preserve">                            инженерно-экологические полевые  работы</t>
  </si>
  <si>
    <t xml:space="preserve">  Итого по разделу 1 инженерно-экологические полевые  работы</t>
  </si>
  <si>
    <t>СМЕТА № 4</t>
  </si>
  <si>
    <t>Составил:__________________Пастухова А.М.</t>
  </si>
  <si>
    <t>Стоимость работ тыс. руб.</t>
  </si>
  <si>
    <t>на проектно-изыскательские работы</t>
  </si>
  <si>
    <t>УТВЕРЖДАЮ:</t>
  </si>
  <si>
    <t>Рукододитель управления кап. ремонта и строительства</t>
  </si>
  <si>
    <t>ГП "Калугаоблводоканал"</t>
  </si>
  <si>
    <t>________________Сергеев М.А.</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</si>
</sst>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s>
  <fonts count="49">
    <font>
      <sz val="10"/>
      <name val="Arial Cyr"/>
      <family val="0"/>
    </font>
    <font>
      <sz val="11"/>
      <color indexed="8"/>
      <name val="Calibri"/>
      <family val="2"/>
    </font>
    <font>
      <b/>
      <sz val="8"/>
      <name val="Tahoma"/>
      <family val="2"/>
    </font>
    <font>
      <sz val="8"/>
      <name val="Tahoma"/>
      <family val="2"/>
    </font>
    <font>
      <sz val="8"/>
      <name val="Arial Cyr"/>
      <family val="0"/>
    </font>
    <font>
      <sz val="10"/>
      <name val="Times New Roman"/>
      <family val="1"/>
    </font>
    <font>
      <sz val="12"/>
      <name val="Arial Cyr"/>
      <family val="0"/>
    </font>
    <font>
      <sz val="12"/>
      <name val="Arial"/>
      <family val="2"/>
    </font>
    <font>
      <b/>
      <sz val="12"/>
      <name val="Arial"/>
      <family val="2"/>
    </font>
    <font>
      <b/>
      <sz val="14"/>
      <name val="Arial"/>
      <family val="2"/>
    </font>
    <font>
      <b/>
      <sz val="10"/>
      <name val="Arial Cyr"/>
      <family val="0"/>
    </font>
    <font>
      <b/>
      <sz val="13"/>
      <name val="Arial"/>
      <family val="2"/>
    </font>
    <font>
      <b/>
      <sz val="13"/>
      <name val="Arial Cyr"/>
      <family val="0"/>
    </font>
    <font>
      <i/>
      <sz val="11"/>
      <name val="Arial"/>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5" fillId="0" borderId="1">
      <alignment horizontal="center"/>
      <protection/>
    </xf>
    <xf numFmtId="0" fontId="0" fillId="0" borderId="0">
      <alignment vertical="top"/>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2" applyNumberFormat="0" applyAlignment="0" applyProtection="0"/>
    <xf numFmtId="0" fontId="5" fillId="0" borderId="1">
      <alignment horizontal="center"/>
      <protection/>
    </xf>
    <xf numFmtId="0" fontId="5" fillId="0" borderId="0">
      <alignment vertical="top"/>
      <protection/>
    </xf>
    <xf numFmtId="0" fontId="34" fillId="27" borderId="3" applyNumberFormat="0" applyAlignment="0" applyProtection="0"/>
    <xf numFmtId="0" fontId="35" fillId="2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7" applyNumberFormat="0" applyFill="0" applyAlignment="0" applyProtection="0"/>
    <xf numFmtId="0" fontId="5" fillId="0" borderId="0">
      <alignment horizontal="right" vertical="top" wrapText="1"/>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40" fillId="28" borderId="8" applyNumberFormat="0" applyAlignment="0" applyProtection="0"/>
    <xf numFmtId="0" fontId="5" fillId="0" borderId="1">
      <alignment horizontal="center" wrapText="1"/>
      <protection/>
    </xf>
    <xf numFmtId="0" fontId="0" fillId="0" borderId="0">
      <alignment vertical="top"/>
      <protection/>
    </xf>
    <xf numFmtId="0" fontId="0" fillId="0" borderId="0">
      <alignment/>
      <protection/>
    </xf>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5" fillId="0" borderId="0">
      <alignment/>
      <protection/>
    </xf>
    <xf numFmtId="0" fontId="5" fillId="0" borderId="1">
      <alignment horizontal="center" wrapText="1"/>
      <protection/>
    </xf>
    <xf numFmtId="0" fontId="43" fillId="30" borderId="0" applyNumberFormat="0" applyBorder="0" applyAlignment="0" applyProtection="0"/>
    <xf numFmtId="0" fontId="44"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 fillId="0" borderId="1">
      <alignment horizontal="center"/>
      <protection/>
    </xf>
    <xf numFmtId="0" fontId="5" fillId="0" borderId="1">
      <alignment horizontal="center" wrapText="1"/>
      <protection/>
    </xf>
    <xf numFmtId="0" fontId="0" fillId="0" borderId="0">
      <alignment/>
      <protection/>
    </xf>
    <xf numFmtId="0" fontId="45" fillId="0" borderId="10" applyNumberFormat="0" applyFill="0" applyAlignment="0" applyProtection="0"/>
    <xf numFmtId="0" fontId="46" fillId="0" borderId="0" applyNumberFormat="0" applyFill="0" applyBorder="0" applyAlignment="0" applyProtection="0"/>
    <xf numFmtId="0" fontId="5" fillId="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0" fontId="5" fillId="0" borderId="0">
      <alignment horizontal="left" vertical="top"/>
      <protection/>
    </xf>
    <xf numFmtId="0" fontId="47" fillId="32" borderId="0" applyNumberFormat="0" applyBorder="0" applyAlignment="0" applyProtection="0"/>
    <xf numFmtId="0" fontId="5" fillId="0" borderId="0">
      <alignment/>
      <protection/>
    </xf>
  </cellStyleXfs>
  <cellXfs count="34">
    <xf numFmtId="0" fontId="0" fillId="0" borderId="0" xfId="0" applyAlignment="1">
      <alignment/>
    </xf>
    <xf numFmtId="0" fontId="6" fillId="0" borderId="0" xfId="0" applyFont="1" applyAlignment="1">
      <alignment/>
    </xf>
    <xf numFmtId="0" fontId="7" fillId="0" borderId="0" xfId="0" applyFont="1" applyAlignment="1">
      <alignment/>
    </xf>
    <xf numFmtId="0" fontId="7"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vertical="top" wrapText="1"/>
    </xf>
    <xf numFmtId="0" fontId="7" fillId="0" borderId="0" xfId="0" applyFont="1" applyAlignment="1">
      <alignment vertical="top"/>
    </xf>
    <xf numFmtId="0" fontId="6" fillId="0" borderId="0" xfId="0" applyFont="1" applyAlignment="1">
      <alignment vertical="top"/>
    </xf>
    <xf numFmtId="0" fontId="7" fillId="0" borderId="11" xfId="61" applyFont="1" applyBorder="1">
      <alignment horizontal="center" wrapText="1"/>
      <protection/>
    </xf>
    <xf numFmtId="49" fontId="7" fillId="0" borderId="1" xfId="0" applyNumberFormat="1" applyFont="1" applyBorder="1" applyAlignment="1">
      <alignment horizontal="center" vertical="top" wrapText="1"/>
    </xf>
    <xf numFmtId="0" fontId="7" fillId="0" borderId="1" xfId="0" applyFont="1" applyBorder="1" applyAlignment="1">
      <alignment horizontal="left" vertical="top" wrapText="1"/>
    </xf>
    <xf numFmtId="10" fontId="7" fillId="0" borderId="1" xfId="0" applyNumberFormat="1" applyFont="1" applyBorder="1" applyAlignment="1">
      <alignment horizontal="center" vertical="top" wrapText="1"/>
    </xf>
    <xf numFmtId="0" fontId="7" fillId="0" borderId="1" xfId="0" applyNumberFormat="1" applyFont="1" applyBorder="1" applyAlignment="1">
      <alignment horizontal="center" vertical="top" wrapText="1"/>
    </xf>
    <xf numFmtId="164" fontId="7" fillId="0" borderId="1" xfId="0" applyNumberFormat="1" applyFont="1" applyBorder="1" applyAlignment="1">
      <alignment horizontal="right" vertical="top" wrapText="1"/>
    </xf>
    <xf numFmtId="49" fontId="7" fillId="0" borderId="11" xfId="0" applyNumberFormat="1" applyFont="1" applyBorder="1" applyAlignment="1">
      <alignment horizontal="center" vertical="top" wrapText="1"/>
    </xf>
    <xf numFmtId="0" fontId="7" fillId="0" borderId="11" xfId="0" applyFont="1" applyBorder="1" applyAlignment="1">
      <alignment horizontal="left" vertical="top" wrapText="1"/>
    </xf>
    <xf numFmtId="10" fontId="7" fillId="0" borderId="11" xfId="0" applyNumberFormat="1" applyFont="1" applyBorder="1" applyAlignment="1">
      <alignment horizontal="center" vertical="top" wrapText="1"/>
    </xf>
    <xf numFmtId="0" fontId="7" fillId="0" borderId="11" xfId="0" applyNumberFormat="1" applyFont="1" applyBorder="1" applyAlignment="1">
      <alignment horizontal="center" vertical="top" wrapText="1"/>
    </xf>
    <xf numFmtId="164" fontId="7" fillId="0" borderId="11" xfId="0" applyNumberFormat="1" applyFont="1" applyBorder="1" applyAlignment="1">
      <alignment horizontal="right" vertical="top" wrapText="1"/>
    </xf>
    <xf numFmtId="164" fontId="7" fillId="0" borderId="1" xfId="53" applyNumberFormat="1" applyFont="1" applyBorder="1" applyAlignment="1">
      <alignment horizontal="right" vertical="top" wrapText="1"/>
      <protection/>
    </xf>
    <xf numFmtId="0" fontId="7" fillId="0" borderId="0" xfId="78" applyFont="1" applyBorder="1" applyAlignment="1">
      <alignment horizontal="center" vertical="top" wrapText="1"/>
      <protection/>
    </xf>
    <xf numFmtId="0" fontId="9" fillId="0" borderId="0" xfId="78" applyFont="1">
      <alignment horizontal="center"/>
      <protection/>
    </xf>
    <xf numFmtId="0" fontId="7" fillId="0" borderId="0" xfId="0" applyFont="1" applyAlignment="1">
      <alignment horizontal="center"/>
    </xf>
    <xf numFmtId="49" fontId="11" fillId="0" borderId="1" xfId="0" applyNumberFormat="1" applyFont="1" applyBorder="1" applyAlignment="1">
      <alignment horizontal="left" vertical="top" wrapText="1"/>
    </xf>
    <xf numFmtId="0" fontId="12" fillId="0" borderId="1" xfId="0" applyFont="1" applyBorder="1" applyAlignment="1">
      <alignment horizontal="left" vertical="top" wrapText="1"/>
    </xf>
    <xf numFmtId="49" fontId="7" fillId="0" borderId="1" xfId="0" applyNumberFormat="1" applyFont="1" applyBorder="1" applyAlignment="1">
      <alignment horizontal="left" vertical="top" wrapText="1"/>
    </xf>
    <xf numFmtId="0" fontId="0"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0" fontId="10" fillId="0" borderId="1" xfId="0" applyFont="1" applyBorder="1" applyAlignment="1">
      <alignment horizontal="left" vertical="top" wrapText="1"/>
    </xf>
    <xf numFmtId="49" fontId="8" fillId="0" borderId="11" xfId="0" applyNumberFormat="1" applyFont="1" applyBorder="1" applyAlignment="1">
      <alignment horizontal="left" vertical="top" wrapText="1"/>
    </xf>
    <xf numFmtId="0" fontId="10" fillId="0" borderId="11" xfId="0" applyFont="1" applyBorder="1" applyAlignment="1">
      <alignment horizontal="left" vertical="top" wrapText="1"/>
    </xf>
    <xf numFmtId="0" fontId="8" fillId="0" borderId="1" xfId="53" applyFont="1" applyBorder="1" applyAlignment="1">
      <alignment horizontal="left" vertical="top" wrapText="1"/>
      <protection/>
    </xf>
    <xf numFmtId="0" fontId="7" fillId="0" borderId="1" xfId="53" applyFont="1" applyBorder="1" applyAlignment="1">
      <alignment horizontal="left" vertical="top" wrapText="1"/>
      <protection/>
    </xf>
    <xf numFmtId="0" fontId="14" fillId="0" borderId="0" xfId="78" applyFont="1" applyBorder="1" applyAlignment="1">
      <alignment horizontal="right" wrapText="1"/>
      <protection/>
    </xf>
  </cellXfs>
  <cellStyles count="7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т" xfId="33"/>
    <cellStyle name="АктМТСН" xfId="34"/>
    <cellStyle name="Акцент1" xfId="35"/>
    <cellStyle name="Акцент2" xfId="36"/>
    <cellStyle name="Акцент3" xfId="37"/>
    <cellStyle name="Акцент4" xfId="38"/>
    <cellStyle name="Акцент5" xfId="39"/>
    <cellStyle name="Акцент6" xfId="40"/>
    <cellStyle name="Ввод " xfId="41"/>
    <cellStyle name="ВедРесурсов" xfId="42"/>
    <cellStyle name="ВедРесурсовАкт" xfId="43"/>
    <cellStyle name="Вывод" xfId="44"/>
    <cellStyle name="Вычисление"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Итоги" xfId="53"/>
    <cellStyle name="ИтогоАктБазЦ" xfId="54"/>
    <cellStyle name="ИтогоАктБИМ" xfId="55"/>
    <cellStyle name="ИтогоАктРесМет" xfId="56"/>
    <cellStyle name="ИтогоБазЦ" xfId="57"/>
    <cellStyle name="ИтогоБИМ" xfId="58"/>
    <cellStyle name="ИтогоРесМет" xfId="59"/>
    <cellStyle name="Контрольная ячейка" xfId="60"/>
    <cellStyle name="ЛокСмета" xfId="61"/>
    <cellStyle name="ЛокСмМТСН" xfId="62"/>
    <cellStyle name="М29" xfId="63"/>
    <cellStyle name="Название" xfId="64"/>
    <cellStyle name="Нейтральный" xfId="65"/>
    <cellStyle name="ОбСмета" xfId="66"/>
    <cellStyle name="Параметр" xfId="67"/>
    <cellStyle name="ПеременныеСметы" xfId="68"/>
    <cellStyle name="Плохой" xfId="69"/>
    <cellStyle name="Пояснение" xfId="70"/>
    <cellStyle name="Примечание" xfId="71"/>
    <cellStyle name="Percent" xfId="72"/>
    <cellStyle name="РесСмета" xfId="73"/>
    <cellStyle name="СводкаСтоимРаб" xfId="74"/>
    <cellStyle name="СводРасч" xfId="75"/>
    <cellStyle name="Связанная ячейка" xfId="76"/>
    <cellStyle name="Текст предупреждения" xfId="77"/>
    <cellStyle name="Титул" xfId="78"/>
    <cellStyle name="Comma" xfId="79"/>
    <cellStyle name="Comma [0]" xfId="80"/>
    <cellStyle name="Хвост" xfId="81"/>
    <cellStyle name="Хороший" xfId="82"/>
    <cellStyle name="Экспертиза"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67"/>
  <sheetViews>
    <sheetView showGridLines="0" tabSelected="1" zoomScalePageLayoutView="0" workbookViewId="0" topLeftCell="A1">
      <selection activeCell="C71" sqref="C71"/>
    </sheetView>
  </sheetViews>
  <sheetFormatPr defaultColWidth="9.00390625" defaultRowHeight="12.75"/>
  <cols>
    <col min="1" max="1" width="6.00390625" style="1" customWidth="1"/>
    <col min="2" max="2" width="46.875" style="1" customWidth="1"/>
    <col min="3" max="3" width="41.375" style="1" customWidth="1"/>
    <col min="4" max="4" width="21.75390625" style="1" customWidth="1"/>
    <col min="5" max="10" width="22.125" style="1" hidden="1" customWidth="1"/>
    <col min="11" max="11" width="73.75390625" style="1" hidden="1" customWidth="1"/>
    <col min="12" max="12" width="16.00390625" style="1" customWidth="1"/>
    <col min="13" max="15" width="9.125" style="1" customWidth="1"/>
    <col min="16" max="16384" width="9.125" style="1" customWidth="1"/>
  </cols>
  <sheetData>
    <row r="1" spans="1:12" ht="18" customHeight="1">
      <c r="A1" s="33" t="s">
        <v>80</v>
      </c>
      <c r="B1" s="33"/>
      <c r="C1" s="33"/>
      <c r="D1" s="33"/>
      <c r="E1" s="33"/>
      <c r="F1" s="33"/>
      <c r="G1" s="33"/>
      <c r="H1" s="33"/>
      <c r="I1" s="33"/>
      <c r="J1" s="33"/>
      <c r="K1" s="33"/>
      <c r="L1" s="33"/>
    </row>
    <row r="2" spans="1:12" ht="15">
      <c r="A2" s="33" t="s">
        <v>81</v>
      </c>
      <c r="B2" s="33"/>
      <c r="C2" s="33"/>
      <c r="D2" s="33"/>
      <c r="E2" s="33"/>
      <c r="F2" s="33"/>
      <c r="G2" s="33"/>
      <c r="H2" s="33"/>
      <c r="I2" s="33"/>
      <c r="J2" s="33"/>
      <c r="K2" s="33"/>
      <c r="L2" s="33"/>
    </row>
    <row r="3" spans="1:12" ht="15">
      <c r="A3" s="33" t="s">
        <v>82</v>
      </c>
      <c r="B3" s="33"/>
      <c r="C3" s="33"/>
      <c r="D3" s="33"/>
      <c r="E3" s="33"/>
      <c r="F3" s="33"/>
      <c r="G3" s="33"/>
      <c r="H3" s="33"/>
      <c r="I3" s="33"/>
      <c r="J3" s="33"/>
      <c r="K3" s="33"/>
      <c r="L3" s="33"/>
    </row>
    <row r="4" spans="1:12" ht="30.75" customHeight="1">
      <c r="A4" s="33" t="s">
        <v>83</v>
      </c>
      <c r="B4" s="33"/>
      <c r="C4" s="33"/>
      <c r="D4" s="33"/>
      <c r="E4" s="33"/>
      <c r="F4" s="33"/>
      <c r="G4" s="33"/>
      <c r="H4" s="33"/>
      <c r="I4" s="33"/>
      <c r="J4" s="33"/>
      <c r="K4" s="33"/>
      <c r="L4" s="33"/>
    </row>
    <row r="5" spans="1:12" ht="18">
      <c r="A5" s="21" t="s">
        <v>76</v>
      </c>
      <c r="B5" s="21"/>
      <c r="C5" s="21"/>
      <c r="D5" s="21"/>
      <c r="E5" s="21"/>
      <c r="F5" s="21"/>
      <c r="G5" s="21"/>
      <c r="H5" s="21"/>
      <c r="I5" s="21"/>
      <c r="J5" s="21"/>
      <c r="K5" s="21"/>
      <c r="L5" s="21"/>
    </row>
    <row r="6" spans="1:12" ht="15">
      <c r="A6" s="22" t="s">
        <v>79</v>
      </c>
      <c r="B6" s="22"/>
      <c r="C6" s="22"/>
      <c r="D6" s="22"/>
      <c r="E6" s="22"/>
      <c r="F6" s="22"/>
      <c r="G6" s="22"/>
      <c r="H6" s="22"/>
      <c r="I6" s="22"/>
      <c r="J6" s="22"/>
      <c r="K6" s="22"/>
      <c r="L6" s="22"/>
    </row>
    <row r="7" spans="1:12" ht="15">
      <c r="A7" s="22" t="s">
        <v>44</v>
      </c>
      <c r="B7" s="22"/>
      <c r="C7" s="22"/>
      <c r="D7" s="22"/>
      <c r="E7" s="22"/>
      <c r="F7" s="22"/>
      <c r="G7" s="22"/>
      <c r="H7" s="22"/>
      <c r="I7" s="22"/>
      <c r="J7" s="22"/>
      <c r="K7" s="22"/>
      <c r="L7" s="22"/>
    </row>
    <row r="8" spans="1:12" ht="15">
      <c r="A8" s="2"/>
      <c r="B8" s="22" t="s">
        <v>45</v>
      </c>
      <c r="C8" s="22"/>
      <c r="D8" s="22"/>
      <c r="E8" s="2"/>
      <c r="F8" s="2"/>
      <c r="G8" s="2"/>
      <c r="H8" s="2"/>
      <c r="I8" s="2"/>
      <c r="J8" s="2"/>
      <c r="K8" s="2"/>
      <c r="L8" s="2"/>
    </row>
    <row r="9" spans="1:12" s="4" customFormat="1" ht="121.5" customHeight="1">
      <c r="A9" s="3" t="s">
        <v>0</v>
      </c>
      <c r="B9" s="3" t="s">
        <v>1</v>
      </c>
      <c r="C9" s="3" t="s">
        <v>2</v>
      </c>
      <c r="D9" s="3" t="s">
        <v>3</v>
      </c>
      <c r="E9" s="3"/>
      <c r="F9" s="3"/>
      <c r="G9" s="3"/>
      <c r="H9" s="3"/>
      <c r="I9" s="3"/>
      <c r="J9" s="3"/>
      <c r="K9" s="3"/>
      <c r="L9" s="3" t="s">
        <v>78</v>
      </c>
    </row>
    <row r="10" spans="1:12" ht="15">
      <c r="A10" s="8">
        <v>1</v>
      </c>
      <c r="B10" s="8">
        <v>2</v>
      </c>
      <c r="C10" s="8">
        <v>3</v>
      </c>
      <c r="D10" s="8">
        <v>4</v>
      </c>
      <c r="E10" s="8"/>
      <c r="F10" s="8"/>
      <c r="G10" s="8"/>
      <c r="H10" s="8"/>
      <c r="I10" s="8"/>
      <c r="J10" s="8"/>
      <c r="K10" s="8"/>
      <c r="L10" s="8">
        <v>5</v>
      </c>
    </row>
    <row r="11" spans="1:12" s="5" customFormat="1" ht="22.5" customHeight="1">
      <c r="A11" s="23" t="s">
        <v>74</v>
      </c>
      <c r="B11" s="24"/>
      <c r="C11" s="24"/>
      <c r="D11" s="24"/>
      <c r="E11" s="24"/>
      <c r="F11" s="24"/>
      <c r="G11" s="24"/>
      <c r="H11" s="24"/>
      <c r="I11" s="24"/>
      <c r="J11" s="24"/>
      <c r="K11" s="24"/>
      <c r="L11" s="24"/>
    </row>
    <row r="12" spans="1:17" s="7" customFormat="1" ht="300">
      <c r="A12" s="9">
        <v>1</v>
      </c>
      <c r="B12" s="10" t="s">
        <v>4</v>
      </c>
      <c r="C12" s="10" t="s">
        <v>50</v>
      </c>
      <c r="D12" s="11" t="str">
        <f ca="1">IF(INDIRECT("H"&amp;ROW())="",INDIRECT("E"&amp;ROW()),"("&amp;INDIRECT("H"&amp;ROW())&amp;")")&amp;IF(INDIRECT("F"&amp;ROW())="0"," * 0",IF(INDIRECT("F"&amp;ROW())="",IF(INDIRECT("I"&amp;ROW())=""," "," * "&amp;INDIRECT("I"&amp;ROW()))," * "&amp;INDIRECT("F"&amp;ROW())))&amp;IF(INDIRECT("G"&amp;ROW())=""," "," * "&amp;INDIRECT("G"&amp;ROW()))</f>
        <v>0,5 * 20.3 * 1,196*1,06*1,1875</v>
      </c>
      <c r="E12" s="12">
        <v>0.5</v>
      </c>
      <c r="F12" s="12" t="str">
        <f ca="1">IF(INDIRECT("J"&amp;ROW())="текущие цены",IF(INDIRECT("G"&amp;ROW())="","0","0"),IF(INDIRECT("G"&amp;ROW())="","30.56","20.3"))</f>
        <v>20.3</v>
      </c>
      <c r="G12" s="12" t="s">
        <v>5</v>
      </c>
      <c r="H12" s="12"/>
      <c r="I12" s="12"/>
      <c r="J12" s="12" t="s">
        <v>6</v>
      </c>
      <c r="K12" s="12" t="s">
        <v>7</v>
      </c>
      <c r="L12" s="13">
        <f ca="1">IF(INDIRECT("J"&amp;ROW())="текущие цены",0/1000,15/1000)</f>
        <v>0.015</v>
      </c>
      <c r="M12" s="5"/>
      <c r="N12" s="5"/>
      <c r="O12" s="5"/>
      <c r="P12" s="5"/>
      <c r="Q12" s="5"/>
    </row>
    <row r="13" spans="1:17" ht="409.5">
      <c r="A13" s="9">
        <v>2</v>
      </c>
      <c r="B13" s="10" t="s">
        <v>8</v>
      </c>
      <c r="C13" s="10" t="s">
        <v>51</v>
      </c>
      <c r="D13" s="11" t="str">
        <f ca="1">IF(INDIRECT("H"&amp;ROW())="",INDIRECT("E"&amp;ROW()),"("&amp;INDIRECT("H"&amp;ROW())&amp;")")&amp;IF(INDIRECT("F"&amp;ROW())="0"," * 0",IF(INDIRECT("F"&amp;ROW())="",IF(INDIRECT("I"&amp;ROW())=""," "," * "&amp;INDIRECT("I"&amp;ROW()))," * "&amp;INDIRECT("F"&amp;ROW())))&amp;IF(INDIRECT("G"&amp;ROW())=""," "," * "&amp;INDIRECT("G"&amp;ROW()))</f>
        <v>5 * 11.7 * 1,3*1,15*1,196*1,06*1,1875</v>
      </c>
      <c r="E13" s="12">
        <v>5</v>
      </c>
      <c r="F13" s="12" t="str">
        <f ca="1">IF(INDIRECT("J"&amp;ROW())="текущие цены",IF(INDIRECT("G"&amp;ROW())="","0","0"),IF(INDIRECT("G"&amp;ROW())="","26.33","11.7"))</f>
        <v>11.7</v>
      </c>
      <c r="G13" s="12" t="s">
        <v>9</v>
      </c>
      <c r="H13" s="12"/>
      <c r="I13" s="12"/>
      <c r="J13" s="12" t="s">
        <v>6</v>
      </c>
      <c r="K13" s="12" t="s">
        <v>10</v>
      </c>
      <c r="L13" s="13">
        <f ca="1">IF(INDIRECT("J"&amp;ROW())="текущие цены",0/1000,132/1000)</f>
        <v>0.132</v>
      </c>
      <c r="M13" s="5"/>
      <c r="N13" s="5"/>
      <c r="O13" s="5"/>
      <c r="P13" s="5"/>
      <c r="Q13" s="5"/>
    </row>
    <row r="14" spans="1:17" ht="300">
      <c r="A14" s="9">
        <v>3</v>
      </c>
      <c r="B14" s="10" t="s">
        <v>11</v>
      </c>
      <c r="C14" s="10" t="s">
        <v>52</v>
      </c>
      <c r="D14" s="11" t="str">
        <f ca="1">IF(INDIRECT("H"&amp;ROW())="",INDIRECT("E"&amp;ROW()),"("&amp;INDIRECT("H"&amp;ROW())&amp;")")&amp;IF(INDIRECT("F"&amp;ROW())="0"," * 0",IF(INDIRECT("F"&amp;ROW())="",IF(INDIRECT("I"&amp;ROW())=""," "," * "&amp;INDIRECT("I"&amp;ROW()))," * "&amp;INDIRECT("F"&amp;ROW())))&amp;IF(INDIRECT("G"&amp;ROW())=""," "," * "&amp;INDIRECT("G"&amp;ROW()))</f>
        <v>5 * 6.9 * 1,196*1,06*1,1875</v>
      </c>
      <c r="E14" s="12">
        <v>5</v>
      </c>
      <c r="F14" s="12" t="str">
        <f ca="1">IF(INDIRECT("J"&amp;ROW())="текущие цены",IF(INDIRECT("G"&amp;ROW())="","0","0"),IF(INDIRECT("G"&amp;ROW())="","10.39","6.9"))</f>
        <v>6.9</v>
      </c>
      <c r="G14" s="12" t="s">
        <v>5</v>
      </c>
      <c r="H14" s="12"/>
      <c r="I14" s="12"/>
      <c r="J14" s="12" t="s">
        <v>6</v>
      </c>
      <c r="K14" s="12" t="s">
        <v>7</v>
      </c>
      <c r="L14" s="13">
        <f ca="1">IF(INDIRECT("J"&amp;ROW())="текущие цены",0/1000,52/1000)</f>
        <v>0.052</v>
      </c>
      <c r="M14" s="5"/>
      <c r="N14" s="5"/>
      <c r="O14" s="5"/>
      <c r="P14" s="5"/>
      <c r="Q14" s="5"/>
    </row>
    <row r="15" spans="1:17" ht="300">
      <c r="A15" s="14">
        <v>4</v>
      </c>
      <c r="B15" s="15" t="s">
        <v>12</v>
      </c>
      <c r="C15" s="15" t="s">
        <v>53</v>
      </c>
      <c r="D15" s="16" t="str">
        <f ca="1">IF(INDIRECT("H"&amp;ROW())="",INDIRECT("E"&amp;ROW()),"("&amp;INDIRECT("H"&amp;ROW())&amp;")")&amp;IF(INDIRECT("F"&amp;ROW())="0"," * 0",IF(INDIRECT("F"&amp;ROW())="",IF(INDIRECT("I"&amp;ROW())=""," "," * "&amp;INDIRECT("I"&amp;ROW()))," * "&amp;INDIRECT("F"&amp;ROW())))&amp;IF(INDIRECT("G"&amp;ROW())=""," "," * "&amp;INDIRECT("G"&amp;ROW()))</f>
        <v>10 * 60 * 1,196*1,06*1,1875</v>
      </c>
      <c r="E15" s="17">
        <v>10</v>
      </c>
      <c r="F15" s="17" t="str">
        <f ca="1">IF(INDIRECT("J"&amp;ROW())="текущие цены",IF(INDIRECT("G"&amp;ROW())="","0","0"),IF(INDIRECT("G"&amp;ROW())="","90.33","60"))</f>
        <v>60</v>
      </c>
      <c r="G15" s="17" t="s">
        <v>5</v>
      </c>
      <c r="H15" s="17"/>
      <c r="I15" s="17"/>
      <c r="J15" s="17" t="s">
        <v>6</v>
      </c>
      <c r="K15" s="17" t="s">
        <v>7</v>
      </c>
      <c r="L15" s="18">
        <f ca="1">IF(INDIRECT("J"&amp;ROW())="текущие цены",0/1000,903/1000)</f>
        <v>0.903</v>
      </c>
      <c r="M15" s="5"/>
      <c r="N15" s="5"/>
      <c r="O15" s="5"/>
      <c r="P15" s="5"/>
      <c r="Q15" s="5"/>
    </row>
    <row r="16" spans="1:17" ht="15">
      <c r="A16" s="25" t="s">
        <v>72</v>
      </c>
      <c r="B16" s="26"/>
      <c r="C16" s="26"/>
      <c r="D16" s="26"/>
      <c r="E16" s="26"/>
      <c r="F16" s="26"/>
      <c r="G16" s="26"/>
      <c r="H16" s="26"/>
      <c r="I16" s="26"/>
      <c r="J16" s="26"/>
      <c r="K16" s="26"/>
      <c r="L16" s="13">
        <f>1102/1000</f>
        <v>1.102</v>
      </c>
      <c r="M16" s="5"/>
      <c r="N16" s="5"/>
      <c r="O16" s="5"/>
      <c r="P16" s="5"/>
      <c r="Q16" s="5"/>
    </row>
    <row r="17" spans="1:17" ht="15.75">
      <c r="A17" s="27" t="s">
        <v>13</v>
      </c>
      <c r="B17" s="28"/>
      <c r="C17" s="28"/>
      <c r="D17" s="28"/>
      <c r="E17" s="28"/>
      <c r="F17" s="28"/>
      <c r="G17" s="28"/>
      <c r="H17" s="28"/>
      <c r="I17" s="28"/>
      <c r="J17" s="28"/>
      <c r="K17" s="28"/>
      <c r="L17" s="13"/>
      <c r="M17" s="5"/>
      <c r="N17" s="5"/>
      <c r="O17" s="5"/>
      <c r="P17" s="5"/>
      <c r="Q17" s="5"/>
    </row>
    <row r="18" spans="1:17" ht="15">
      <c r="A18" s="25" t="s">
        <v>14</v>
      </c>
      <c r="B18" s="26"/>
      <c r="C18" s="26"/>
      <c r="D18" s="26"/>
      <c r="E18" s="26"/>
      <c r="F18" s="26"/>
      <c r="G18" s="26"/>
      <c r="H18" s="26"/>
      <c r="I18" s="26"/>
      <c r="J18" s="26"/>
      <c r="K18" s="26"/>
      <c r="L18" s="13">
        <f>1102/1000</f>
        <v>1.102</v>
      </c>
      <c r="M18" s="5"/>
      <c r="N18" s="5"/>
      <c r="O18" s="5"/>
      <c r="P18" s="5"/>
      <c r="Q18" s="5"/>
    </row>
    <row r="19" spans="1:17" ht="15">
      <c r="A19" s="25" t="s">
        <v>15</v>
      </c>
      <c r="B19" s="26"/>
      <c r="C19" s="26"/>
      <c r="D19" s="26"/>
      <c r="E19" s="26"/>
      <c r="F19" s="26"/>
      <c r="G19" s="26"/>
      <c r="H19" s="26"/>
      <c r="I19" s="26"/>
      <c r="J19" s="26"/>
      <c r="K19" s="26"/>
      <c r="L19" s="13">
        <f>1102/1000</f>
        <v>1.102</v>
      </c>
      <c r="M19" s="5"/>
      <c r="N19" s="5"/>
      <c r="O19" s="5"/>
      <c r="P19" s="5"/>
      <c r="Q19" s="5"/>
    </row>
    <row r="20" spans="1:17" ht="15">
      <c r="A20" s="25" t="s">
        <v>46</v>
      </c>
      <c r="B20" s="26"/>
      <c r="C20" s="26"/>
      <c r="D20" s="26"/>
      <c r="E20" s="26"/>
      <c r="F20" s="26"/>
      <c r="G20" s="26"/>
      <c r="H20" s="26"/>
      <c r="I20" s="26"/>
      <c r="J20" s="26"/>
      <c r="K20" s="26"/>
      <c r="L20" s="13">
        <f>47287/1000</f>
        <v>47.287</v>
      </c>
      <c r="M20" s="5"/>
      <c r="N20" s="5"/>
      <c r="O20" s="5"/>
      <c r="P20" s="5"/>
      <c r="Q20" s="5"/>
    </row>
    <row r="21" spans="1:17" ht="15" customHeight="1">
      <c r="A21" s="29" t="s">
        <v>75</v>
      </c>
      <c r="B21" s="30"/>
      <c r="C21" s="30"/>
      <c r="D21" s="30"/>
      <c r="E21" s="30"/>
      <c r="F21" s="30"/>
      <c r="G21" s="30"/>
      <c r="H21" s="30"/>
      <c r="I21" s="30"/>
      <c r="J21" s="30"/>
      <c r="K21" s="30"/>
      <c r="L21" s="18">
        <f>47287/1000</f>
        <v>47.287</v>
      </c>
      <c r="M21" s="5"/>
      <c r="N21" s="5"/>
      <c r="O21" s="5"/>
      <c r="P21" s="5"/>
      <c r="Q21" s="5"/>
    </row>
    <row r="22" spans="1:17" ht="16.5">
      <c r="A22" s="23" t="s">
        <v>47</v>
      </c>
      <c r="B22" s="24"/>
      <c r="C22" s="24"/>
      <c r="D22" s="24"/>
      <c r="E22" s="24"/>
      <c r="F22" s="24"/>
      <c r="G22" s="24"/>
      <c r="H22" s="24"/>
      <c r="I22" s="24"/>
      <c r="J22" s="24"/>
      <c r="K22" s="24"/>
      <c r="L22" s="24"/>
      <c r="M22" s="5"/>
      <c r="N22" s="5"/>
      <c r="O22" s="5"/>
      <c r="P22" s="5"/>
      <c r="Q22" s="5"/>
    </row>
    <row r="23" spans="1:17" ht="60.75" customHeight="1">
      <c r="A23" s="9">
        <v>5</v>
      </c>
      <c r="B23" s="10" t="s">
        <v>16</v>
      </c>
      <c r="C23" s="10" t="s">
        <v>54</v>
      </c>
      <c r="D23" s="11" t="str">
        <f aca="true" ca="1" t="shared" si="0" ref="D23:D33">IF(INDIRECT("H"&amp;ROW())="",INDIRECT("E"&amp;ROW()),"("&amp;INDIRECT("H"&amp;ROW())&amp;")")&amp;IF(INDIRECT("F"&amp;ROW())="0"," * 0",IF(INDIRECT("F"&amp;ROW())="",IF(INDIRECT("I"&amp;ROW())=""," "," * "&amp;INDIRECT("I"&amp;ROW()))," * "&amp;INDIRECT("F"&amp;ROW())))&amp;IF(INDIRECT("G"&amp;ROW())=""," "," * "&amp;INDIRECT("G"&amp;ROW()))</f>
        <v>5 * 10.3 </v>
      </c>
      <c r="E23" s="12">
        <v>5</v>
      </c>
      <c r="F23" s="12" t="str">
        <f ca="1">IF(INDIRECT("J"&amp;ROW())="текущие цены",IF(INDIRECT("G"&amp;ROW())="","0","0"),IF(INDIRECT("G"&amp;ROW())="","10.3","10.3"))</f>
        <v>10.3</v>
      </c>
      <c r="G23" s="12"/>
      <c r="H23" s="12"/>
      <c r="I23" s="12"/>
      <c r="J23" s="12" t="s">
        <v>6</v>
      </c>
      <c r="K23" s="12"/>
      <c r="L23" s="13">
        <f ca="1">IF(INDIRECT("J"&amp;ROW())="текущие цены",0/1000,52/1000)</f>
        <v>0.052</v>
      </c>
      <c r="M23" s="5"/>
      <c r="N23" s="5"/>
      <c r="O23" s="5"/>
      <c r="P23" s="5"/>
      <c r="Q23" s="5"/>
    </row>
    <row r="24" spans="1:17" ht="45">
      <c r="A24" s="9">
        <v>6</v>
      </c>
      <c r="B24" s="10" t="s">
        <v>17</v>
      </c>
      <c r="C24" s="10" t="s">
        <v>55</v>
      </c>
      <c r="D24" s="11" t="str">
        <f ca="1" t="shared" si="0"/>
        <v>3 * 67.3 </v>
      </c>
      <c r="E24" s="12">
        <v>3</v>
      </c>
      <c r="F24" s="12" t="str">
        <f ca="1">IF(INDIRECT("J"&amp;ROW())="текущие цены",IF(INDIRECT("G"&amp;ROW())="","0","0"),IF(INDIRECT("G"&amp;ROW())="","67.3","67.3"))</f>
        <v>67.3</v>
      </c>
      <c r="G24" s="12"/>
      <c r="H24" s="12"/>
      <c r="I24" s="12"/>
      <c r="J24" s="12" t="s">
        <v>6</v>
      </c>
      <c r="K24" s="12"/>
      <c r="L24" s="13">
        <f ca="1">IF(INDIRECT("J"&amp;ROW())="текущие цены",0/1000,202/1000)</f>
        <v>0.202</v>
      </c>
      <c r="M24" s="5"/>
      <c r="N24" s="5"/>
      <c r="O24" s="5"/>
      <c r="P24" s="5"/>
      <c r="Q24" s="5"/>
    </row>
    <row r="25" spans="1:17" ht="60">
      <c r="A25" s="9">
        <v>7</v>
      </c>
      <c r="B25" s="10" t="s">
        <v>18</v>
      </c>
      <c r="C25" s="10" t="s">
        <v>56</v>
      </c>
      <c r="D25" s="11" t="str">
        <f ca="1" t="shared" si="0"/>
        <v>18 * 7.8 </v>
      </c>
      <c r="E25" s="12">
        <v>18</v>
      </c>
      <c r="F25" s="12" t="str">
        <f ca="1">IF(INDIRECT("J"&amp;ROW())="текущие цены",IF(INDIRECT("G"&amp;ROW())="","0","0"),IF(INDIRECT("G"&amp;ROW())="","7.8","7.8"))</f>
        <v>7.8</v>
      </c>
      <c r="G25" s="12"/>
      <c r="H25" s="12"/>
      <c r="I25" s="12"/>
      <c r="J25" s="12" t="s">
        <v>6</v>
      </c>
      <c r="K25" s="12"/>
      <c r="L25" s="13">
        <f ca="1">IF(INDIRECT("J"&amp;ROW())="текущие цены",0/1000,140/1000)</f>
        <v>0.14</v>
      </c>
      <c r="M25" s="5"/>
      <c r="N25" s="5"/>
      <c r="O25" s="5"/>
      <c r="P25" s="5"/>
      <c r="Q25" s="5"/>
    </row>
    <row r="26" spans="1:17" ht="60">
      <c r="A26" s="9">
        <v>8</v>
      </c>
      <c r="B26" s="10" t="s">
        <v>19</v>
      </c>
      <c r="C26" s="10" t="s">
        <v>57</v>
      </c>
      <c r="D26" s="11" t="str">
        <f ca="1" t="shared" si="0"/>
        <v>18 * 52.3 </v>
      </c>
      <c r="E26" s="12">
        <v>18</v>
      </c>
      <c r="F26" s="12" t="str">
        <f ca="1">IF(INDIRECT("J"&amp;ROW())="текущие цены",IF(INDIRECT("G"&amp;ROW())="","0","0"),IF(INDIRECT("G"&amp;ROW())="","52.3","52.3"))</f>
        <v>52.3</v>
      </c>
      <c r="G26" s="12"/>
      <c r="H26" s="12"/>
      <c r="I26" s="12"/>
      <c r="J26" s="12" t="s">
        <v>6</v>
      </c>
      <c r="K26" s="12"/>
      <c r="L26" s="13">
        <f ca="1">IF(INDIRECT("J"&amp;ROW())="текущие цены",0/1000,941/1000)</f>
        <v>0.941</v>
      </c>
      <c r="M26" s="5"/>
      <c r="N26" s="5"/>
      <c r="O26" s="5"/>
      <c r="P26" s="5"/>
      <c r="Q26" s="5"/>
    </row>
    <row r="27" spans="1:17" ht="45">
      <c r="A27" s="9">
        <v>9</v>
      </c>
      <c r="B27" s="10" t="s">
        <v>20</v>
      </c>
      <c r="C27" s="10" t="s">
        <v>58</v>
      </c>
      <c r="D27" s="11" t="str">
        <f ca="1" t="shared" si="0"/>
        <v>3 * 62.5 </v>
      </c>
      <c r="E27" s="12">
        <v>3</v>
      </c>
      <c r="F27" s="12" t="str">
        <f ca="1">IF(INDIRECT("J"&amp;ROW())="текущие цены",IF(INDIRECT("G"&amp;ROW())="","0","0"),IF(INDIRECT("G"&amp;ROW())="","62.5","62.5"))</f>
        <v>62.5</v>
      </c>
      <c r="G27" s="12"/>
      <c r="H27" s="12"/>
      <c r="I27" s="12"/>
      <c r="J27" s="12" t="s">
        <v>6</v>
      </c>
      <c r="K27" s="12"/>
      <c r="L27" s="13">
        <f ca="1">IF(INDIRECT("J"&amp;ROW())="текущие цены",0/1000,188/1000)</f>
        <v>0.188</v>
      </c>
      <c r="M27" s="5"/>
      <c r="N27" s="5"/>
      <c r="O27" s="5"/>
      <c r="P27" s="5"/>
      <c r="Q27" s="5"/>
    </row>
    <row r="28" spans="1:17" ht="46.5" customHeight="1">
      <c r="A28" s="9">
        <v>10</v>
      </c>
      <c r="B28" s="10" t="s">
        <v>21</v>
      </c>
      <c r="C28" s="10" t="s">
        <v>59</v>
      </c>
      <c r="D28" s="11" t="str">
        <f ca="1" t="shared" si="0"/>
        <v>3 * 19.7 </v>
      </c>
      <c r="E28" s="12">
        <v>3</v>
      </c>
      <c r="F28" s="12" t="str">
        <f ca="1">IF(INDIRECT("J"&amp;ROW())="текущие цены",IF(INDIRECT("G"&amp;ROW())="","0","0"),IF(INDIRECT("G"&amp;ROW())="","19.7","19.7"))</f>
        <v>19.7</v>
      </c>
      <c r="G28" s="12"/>
      <c r="H28" s="12"/>
      <c r="I28" s="12"/>
      <c r="J28" s="12" t="s">
        <v>6</v>
      </c>
      <c r="K28" s="12"/>
      <c r="L28" s="13">
        <f ca="1">IF(INDIRECT("J"&amp;ROW())="текущие цены",0/1000,59/1000)</f>
        <v>0.059</v>
      </c>
      <c r="M28" s="5"/>
      <c r="N28" s="5"/>
      <c r="O28" s="5"/>
      <c r="P28" s="5"/>
      <c r="Q28" s="5"/>
    </row>
    <row r="29" spans="1:17" ht="45">
      <c r="A29" s="9">
        <v>11</v>
      </c>
      <c r="B29" s="10" t="s">
        <v>22</v>
      </c>
      <c r="C29" s="10" t="s">
        <v>60</v>
      </c>
      <c r="D29" s="11" t="str">
        <f ca="1" t="shared" si="0"/>
        <v>3 * 86 </v>
      </c>
      <c r="E29" s="12">
        <v>3</v>
      </c>
      <c r="F29" s="12" t="str">
        <f ca="1">IF(INDIRECT("J"&amp;ROW())="текущие цены",IF(INDIRECT("G"&amp;ROW())="","0","0"),IF(INDIRECT("G"&amp;ROW())="","86","86"))</f>
        <v>86</v>
      </c>
      <c r="G29" s="12"/>
      <c r="H29" s="12"/>
      <c r="I29" s="12"/>
      <c r="J29" s="12" t="s">
        <v>6</v>
      </c>
      <c r="K29" s="12"/>
      <c r="L29" s="13">
        <f ca="1">IF(INDIRECT("J"&amp;ROW())="текущие цены",0/1000,258/1000)</f>
        <v>0.258</v>
      </c>
      <c r="M29" s="5"/>
      <c r="N29" s="5"/>
      <c r="O29" s="5"/>
      <c r="P29" s="5"/>
      <c r="Q29" s="5"/>
    </row>
    <row r="30" spans="1:17" ht="60">
      <c r="A30" s="9">
        <v>12</v>
      </c>
      <c r="B30" s="10" t="s">
        <v>23</v>
      </c>
      <c r="C30" s="10" t="s">
        <v>61</v>
      </c>
      <c r="D30" s="11" t="str">
        <f ca="1" t="shared" si="0"/>
        <v>3 * 2 </v>
      </c>
      <c r="E30" s="12">
        <v>3</v>
      </c>
      <c r="F30" s="12" t="str">
        <f ca="1">IF(INDIRECT("J"&amp;ROW())="текущие цены",IF(INDIRECT("G"&amp;ROW())="","0","0"),IF(INDIRECT("G"&amp;ROW())="","2","2"))</f>
        <v>2</v>
      </c>
      <c r="G30" s="12"/>
      <c r="H30" s="12"/>
      <c r="I30" s="12"/>
      <c r="J30" s="12" t="s">
        <v>6</v>
      </c>
      <c r="K30" s="12"/>
      <c r="L30" s="13">
        <f ca="1">IF(INDIRECT("J"&amp;ROW())="текущие цены",0/1000,6/1000)</f>
        <v>0.006</v>
      </c>
      <c r="M30" s="5"/>
      <c r="N30" s="5"/>
      <c r="O30" s="5"/>
      <c r="P30" s="5"/>
      <c r="Q30" s="5"/>
    </row>
    <row r="31" spans="1:17" ht="45">
      <c r="A31" s="9">
        <v>13</v>
      </c>
      <c r="B31" s="10" t="s">
        <v>24</v>
      </c>
      <c r="C31" s="10" t="s">
        <v>62</v>
      </c>
      <c r="D31" s="11" t="str">
        <f ca="1" t="shared" si="0"/>
        <v>3 * 12.2 </v>
      </c>
      <c r="E31" s="12">
        <v>3</v>
      </c>
      <c r="F31" s="12" t="str">
        <f ca="1">IF(INDIRECT("J"&amp;ROW())="текущие цены",IF(INDIRECT("G"&amp;ROW())="","0","0"),IF(INDIRECT("G"&amp;ROW())="","12.2","12.2"))</f>
        <v>12.2</v>
      </c>
      <c r="G31" s="12"/>
      <c r="H31" s="12"/>
      <c r="I31" s="12"/>
      <c r="J31" s="12" t="s">
        <v>6</v>
      </c>
      <c r="K31" s="12"/>
      <c r="L31" s="13">
        <f ca="1">IF(INDIRECT("J"&amp;ROW())="текущие цены",0/1000,37/1000)</f>
        <v>0.037</v>
      </c>
      <c r="M31" s="5"/>
      <c r="N31" s="5"/>
      <c r="O31" s="5"/>
      <c r="P31" s="5"/>
      <c r="Q31" s="5"/>
    </row>
    <row r="32" spans="1:17" ht="45">
      <c r="A32" s="9">
        <v>14</v>
      </c>
      <c r="B32" s="10" t="s">
        <v>25</v>
      </c>
      <c r="C32" s="10" t="s">
        <v>63</v>
      </c>
      <c r="D32" s="11" t="str">
        <f ca="1" t="shared" si="0"/>
        <v>2 * 162.1 </v>
      </c>
      <c r="E32" s="12">
        <v>2</v>
      </c>
      <c r="F32" s="12" t="str">
        <f ca="1">IF(INDIRECT("J"&amp;ROW())="текущие цены",IF(INDIRECT("G"&amp;ROW())="","0","0"),IF(INDIRECT("G"&amp;ROW())="","162.1","162.1"))</f>
        <v>162.1</v>
      </c>
      <c r="G32" s="12"/>
      <c r="H32" s="12"/>
      <c r="I32" s="12"/>
      <c r="J32" s="12" t="s">
        <v>6</v>
      </c>
      <c r="K32" s="12"/>
      <c r="L32" s="13">
        <f ca="1">IF(INDIRECT("J"&amp;ROW())="текущие цены",0/1000,324/1000)</f>
        <v>0.324</v>
      </c>
      <c r="M32" s="5"/>
      <c r="N32" s="5"/>
      <c r="O32" s="5"/>
      <c r="P32" s="5"/>
      <c r="Q32" s="5"/>
    </row>
    <row r="33" spans="1:17" ht="75">
      <c r="A33" s="14">
        <v>15</v>
      </c>
      <c r="B33" s="15" t="s">
        <v>26</v>
      </c>
      <c r="C33" s="15" t="s">
        <v>64</v>
      </c>
      <c r="D33" s="16" t="str">
        <f ca="1" t="shared" si="0"/>
        <v>1 * 441.4 </v>
      </c>
      <c r="E33" s="17">
        <v>1</v>
      </c>
      <c r="F33" s="17" t="str">
        <f ca="1">IF(INDIRECT("J"&amp;ROW())="текущие цены",IF(INDIRECT("G"&amp;ROW())="","0","0"),IF(INDIRECT("G"&amp;ROW())="","441.4","441.4"))</f>
        <v>441.4</v>
      </c>
      <c r="G33" s="17"/>
      <c r="H33" s="17"/>
      <c r="I33" s="17"/>
      <c r="J33" s="17" t="s">
        <v>6</v>
      </c>
      <c r="K33" s="17"/>
      <c r="L33" s="18">
        <f ca="1">IF(INDIRECT("J"&amp;ROW())="текущие цены",0/1000,441/1000)</f>
        <v>0.441</v>
      </c>
      <c r="M33" s="5"/>
      <c r="N33" s="5"/>
      <c r="O33" s="5"/>
      <c r="P33" s="5"/>
      <c r="Q33" s="5"/>
    </row>
    <row r="34" spans="1:17" ht="15">
      <c r="A34" s="25" t="s">
        <v>72</v>
      </c>
      <c r="B34" s="26"/>
      <c r="C34" s="26"/>
      <c r="D34" s="26"/>
      <c r="E34" s="26"/>
      <c r="F34" s="26"/>
      <c r="G34" s="26"/>
      <c r="H34" s="26"/>
      <c r="I34" s="26"/>
      <c r="J34" s="26"/>
      <c r="K34" s="26"/>
      <c r="L34" s="13">
        <f>2648/1000</f>
        <v>2.648</v>
      </c>
      <c r="M34" s="5"/>
      <c r="N34" s="5"/>
      <c r="O34" s="5"/>
      <c r="P34" s="5"/>
      <c r="Q34" s="5"/>
    </row>
    <row r="35" spans="1:17" ht="15">
      <c r="A35" s="27" t="s">
        <v>27</v>
      </c>
      <c r="B35" s="28"/>
      <c r="C35" s="28"/>
      <c r="D35" s="28"/>
      <c r="E35" s="28"/>
      <c r="F35" s="28"/>
      <c r="G35" s="28"/>
      <c r="H35" s="28"/>
      <c r="I35" s="28"/>
      <c r="J35" s="28"/>
      <c r="K35" s="28"/>
      <c r="L35" s="13"/>
      <c r="M35" s="5"/>
      <c r="N35" s="5"/>
      <c r="O35" s="5"/>
      <c r="P35" s="5"/>
      <c r="Q35" s="5"/>
    </row>
    <row r="36" spans="1:17" ht="15">
      <c r="A36" s="25" t="s">
        <v>14</v>
      </c>
      <c r="B36" s="26"/>
      <c r="C36" s="26"/>
      <c r="D36" s="26"/>
      <c r="E36" s="26"/>
      <c r="F36" s="26"/>
      <c r="G36" s="26"/>
      <c r="H36" s="26"/>
      <c r="I36" s="26"/>
      <c r="J36" s="26"/>
      <c r="K36" s="26"/>
      <c r="L36" s="13">
        <f>2648/1000</f>
        <v>2.648</v>
      </c>
      <c r="M36" s="5"/>
      <c r="N36" s="5"/>
      <c r="O36" s="5"/>
      <c r="P36" s="5"/>
      <c r="Q36" s="5"/>
    </row>
    <row r="37" spans="1:17" ht="15">
      <c r="A37" s="25" t="s">
        <v>15</v>
      </c>
      <c r="B37" s="26"/>
      <c r="C37" s="26"/>
      <c r="D37" s="26"/>
      <c r="E37" s="26"/>
      <c r="F37" s="26"/>
      <c r="G37" s="26"/>
      <c r="H37" s="26"/>
      <c r="I37" s="26"/>
      <c r="J37" s="26"/>
      <c r="K37" s="26"/>
      <c r="L37" s="13">
        <f>2648/1000</f>
        <v>2.648</v>
      </c>
      <c r="M37" s="5"/>
      <c r="N37" s="5"/>
      <c r="O37" s="5"/>
      <c r="P37" s="5"/>
      <c r="Q37" s="5"/>
    </row>
    <row r="38" spans="1:17" ht="15">
      <c r="A38" s="25" t="s">
        <v>46</v>
      </c>
      <c r="B38" s="26"/>
      <c r="C38" s="26"/>
      <c r="D38" s="26"/>
      <c r="E38" s="26"/>
      <c r="F38" s="26"/>
      <c r="G38" s="26"/>
      <c r="H38" s="26"/>
      <c r="I38" s="26"/>
      <c r="J38" s="26"/>
      <c r="K38" s="26"/>
      <c r="L38" s="13">
        <f>113626/1000</f>
        <v>113.626</v>
      </c>
      <c r="M38" s="5"/>
      <c r="N38" s="5"/>
      <c r="O38" s="5"/>
      <c r="P38" s="5"/>
      <c r="Q38" s="5"/>
    </row>
    <row r="39" spans="1:17" ht="15" customHeight="1">
      <c r="A39" s="29" t="s">
        <v>28</v>
      </c>
      <c r="B39" s="30"/>
      <c r="C39" s="30"/>
      <c r="D39" s="30"/>
      <c r="E39" s="30"/>
      <c r="F39" s="30"/>
      <c r="G39" s="30"/>
      <c r="H39" s="30"/>
      <c r="I39" s="30"/>
      <c r="J39" s="30"/>
      <c r="K39" s="30"/>
      <c r="L39" s="18">
        <f>113626/1000</f>
        <v>113.626</v>
      </c>
      <c r="M39" s="5"/>
      <c r="N39" s="5"/>
      <c r="O39" s="5"/>
      <c r="P39" s="5"/>
      <c r="Q39" s="5"/>
    </row>
    <row r="40" spans="1:17" ht="16.5">
      <c r="A40" s="23" t="s">
        <v>48</v>
      </c>
      <c r="B40" s="24"/>
      <c r="C40" s="24"/>
      <c r="D40" s="24"/>
      <c r="E40" s="24"/>
      <c r="F40" s="24"/>
      <c r="G40" s="24"/>
      <c r="H40" s="24"/>
      <c r="I40" s="24"/>
      <c r="J40" s="24"/>
      <c r="K40" s="24"/>
      <c r="L40" s="24"/>
      <c r="M40" s="5"/>
      <c r="N40" s="5"/>
      <c r="O40" s="5"/>
      <c r="P40" s="5"/>
      <c r="Q40" s="5"/>
    </row>
    <row r="41" spans="1:17" ht="105">
      <c r="A41" s="9">
        <v>16</v>
      </c>
      <c r="B41" s="10" t="s">
        <v>29</v>
      </c>
      <c r="C41" s="10" t="s">
        <v>65</v>
      </c>
      <c r="D41" s="11" t="str">
        <f ca="1">IF(INDIRECT("H"&amp;ROW())="",INDIRECT("E"&amp;ROW()),"("&amp;INDIRECT("H"&amp;ROW())&amp;")")&amp;IF(INDIRECT("F"&amp;ROW())="0"," * 0",IF(INDIRECT("F"&amp;ROW())="",IF(INDIRECT("I"&amp;ROW())=""," "," * "&amp;INDIRECT("I"&amp;ROW()))," * "&amp;INDIRECT("F"&amp;ROW())))&amp;IF(INDIRECT("G"&amp;ROW())=""," "," * "&amp;INDIRECT("G"&amp;ROW()))</f>
        <v>0,5 * 2.1 </v>
      </c>
      <c r="E41" s="12">
        <v>0.5</v>
      </c>
      <c r="F41" s="12" t="str">
        <f ca="1">IF(INDIRECT("J"&amp;ROW())="текущие цены",IF(INDIRECT("G"&amp;ROW())="","0","0"),IF(INDIRECT("G"&amp;ROW())="","2.1","2.1"))</f>
        <v>2.1</v>
      </c>
      <c r="G41" s="12"/>
      <c r="H41" s="12"/>
      <c r="I41" s="12"/>
      <c r="J41" s="12" t="s">
        <v>6</v>
      </c>
      <c r="K41" s="12"/>
      <c r="L41" s="13">
        <f ca="1">IF(INDIRECT("J"&amp;ROW())="текущие цены",0/1000,1/1000)</f>
        <v>0.001</v>
      </c>
      <c r="M41" s="5"/>
      <c r="N41" s="5"/>
      <c r="O41" s="5"/>
      <c r="P41" s="5"/>
      <c r="Q41" s="5"/>
    </row>
    <row r="42" spans="1:17" ht="144.75" customHeight="1">
      <c r="A42" s="9">
        <v>17</v>
      </c>
      <c r="B42" s="10" t="s">
        <v>30</v>
      </c>
      <c r="C42" s="10" t="s">
        <v>66</v>
      </c>
      <c r="D42" s="11" t="str">
        <f ca="1">IF(INDIRECT("H"&amp;ROW())="",INDIRECT("E"&amp;ROW()),"("&amp;INDIRECT("H"&amp;ROW())&amp;")")&amp;IF(INDIRECT("F"&amp;ROW())="0"," * 0",IF(INDIRECT("F"&amp;ROW())="",IF(INDIRECT("I"&amp;ROW())=""," "," * "&amp;INDIRECT("I"&amp;ROW()))," * "&amp;INDIRECT("F"&amp;ROW())))&amp;IF(INDIRECT("G"&amp;ROW())=""," "," * "&amp;INDIRECT("G"&amp;ROW()))</f>
        <v>5 * 7.5 * 1,3*1,15</v>
      </c>
      <c r="E42" s="12">
        <v>5</v>
      </c>
      <c r="F42" s="12" t="str">
        <f ca="1">IF(INDIRECT("J"&amp;ROW())="текущие цены",IF(INDIRECT("G"&amp;ROW())="","0","0"),IF(INDIRECT("G"&amp;ROW())="","11.21","7.5"))</f>
        <v>7.5</v>
      </c>
      <c r="G42" s="12" t="s">
        <v>31</v>
      </c>
      <c r="H42" s="12"/>
      <c r="I42" s="12"/>
      <c r="J42" s="12" t="s">
        <v>6</v>
      </c>
      <c r="K42" s="12" t="s">
        <v>32</v>
      </c>
      <c r="L42" s="13">
        <f ca="1">IF(INDIRECT("J"&amp;ROW())="текущие цены",0/1000,56/1000)</f>
        <v>0.056</v>
      </c>
      <c r="M42" s="5"/>
      <c r="N42" s="5"/>
      <c r="O42" s="5"/>
      <c r="P42" s="5"/>
      <c r="Q42" s="5"/>
    </row>
    <row r="43" spans="1:17" ht="47.25" customHeight="1">
      <c r="A43" s="9">
        <v>18</v>
      </c>
      <c r="B43" s="10" t="s">
        <v>33</v>
      </c>
      <c r="C43" s="10" t="s">
        <v>67</v>
      </c>
      <c r="D43" s="11" t="str">
        <f ca="1">IF(INDIRECT("H"&amp;ROW())="",INDIRECT("E"&amp;ROW()),"("&amp;INDIRECT("H"&amp;ROW())&amp;")")&amp;IF(INDIRECT("F"&amp;ROW())="0"," * 0",IF(INDIRECT("F"&amp;ROW())="",IF(INDIRECT("I"&amp;ROW())=""," "," * "&amp;INDIRECT("I"&amp;ROW()))," * "&amp;INDIRECT("F"&amp;ROW())))&amp;IF(INDIRECT("G"&amp;ROW())=""," "," * "&amp;INDIRECT("G"&amp;ROW()))</f>
        <v>10 * 17.8 </v>
      </c>
      <c r="E43" s="12">
        <v>10</v>
      </c>
      <c r="F43" s="12" t="str">
        <f ca="1">IF(INDIRECT("J"&amp;ROW())="текущие цены",IF(INDIRECT("G"&amp;ROW())="","0","0"),IF(INDIRECT("G"&amp;ROW())="","17.8","17.8"))</f>
        <v>17.8</v>
      </c>
      <c r="G43" s="12"/>
      <c r="H43" s="12"/>
      <c r="I43" s="12"/>
      <c r="J43" s="12" t="s">
        <v>6</v>
      </c>
      <c r="K43" s="12"/>
      <c r="L43" s="13">
        <f ca="1">IF(INDIRECT("J"&amp;ROW())="текущие цены",0/1000,178/1000)</f>
        <v>0.178</v>
      </c>
      <c r="M43" s="5"/>
      <c r="N43" s="5"/>
      <c r="O43" s="5"/>
      <c r="P43" s="5"/>
      <c r="Q43" s="5"/>
    </row>
    <row r="44" spans="1:17" ht="45">
      <c r="A44" s="14">
        <v>19</v>
      </c>
      <c r="B44" s="15" t="s">
        <v>34</v>
      </c>
      <c r="C44" s="15" t="s">
        <v>68</v>
      </c>
      <c r="D44" s="16" t="str">
        <f ca="1">IF(INDIRECT("H"&amp;ROW())="",INDIRECT("E"&amp;ROW()),"("&amp;INDIRECT("H"&amp;ROW())&amp;")")&amp;IF(INDIRECT("F"&amp;ROW())="0"," * 0",IF(INDIRECT("F"&amp;ROW())="",IF(INDIRECT("I"&amp;ROW())=""," "," * "&amp;INDIRECT("I"&amp;ROW()))," * "&amp;INDIRECT("F"&amp;ROW())))&amp;IF(INDIRECT("G"&amp;ROW())=""," "," * "&amp;INDIRECT("G"&amp;ROW()))</f>
        <v>1 * 500 </v>
      </c>
      <c r="E44" s="17">
        <v>1</v>
      </c>
      <c r="F44" s="17" t="str">
        <f ca="1">IF(INDIRECT("J"&amp;ROW())="текущие цены",IF(INDIRECT("G"&amp;ROW())="","0","0"),IF(INDIRECT("G"&amp;ROW())="","500","500"))</f>
        <v>500</v>
      </c>
      <c r="G44" s="17"/>
      <c r="H44" s="17"/>
      <c r="I44" s="17"/>
      <c r="J44" s="17" t="s">
        <v>6</v>
      </c>
      <c r="K44" s="17"/>
      <c r="L44" s="18">
        <f ca="1">IF(INDIRECT("J"&amp;ROW())="текущие цены",0/1000,500/1000)</f>
        <v>0.5</v>
      </c>
      <c r="M44" s="5"/>
      <c r="N44" s="5"/>
      <c r="O44" s="5"/>
      <c r="P44" s="5"/>
      <c r="Q44" s="5"/>
    </row>
    <row r="45" spans="1:17" ht="15">
      <c r="A45" s="25" t="s">
        <v>72</v>
      </c>
      <c r="B45" s="26"/>
      <c r="C45" s="26"/>
      <c r="D45" s="26"/>
      <c r="E45" s="26"/>
      <c r="F45" s="26"/>
      <c r="G45" s="26"/>
      <c r="H45" s="26"/>
      <c r="I45" s="26"/>
      <c r="J45" s="26"/>
      <c r="K45" s="26"/>
      <c r="L45" s="13">
        <f>735/1000</f>
        <v>0.735</v>
      </c>
      <c r="M45" s="5"/>
      <c r="N45" s="5"/>
      <c r="O45" s="5"/>
      <c r="P45" s="5"/>
      <c r="Q45" s="5"/>
    </row>
    <row r="46" spans="1:17" ht="15">
      <c r="A46" s="27" t="s">
        <v>35</v>
      </c>
      <c r="B46" s="28"/>
      <c r="C46" s="28"/>
      <c r="D46" s="28"/>
      <c r="E46" s="28"/>
      <c r="F46" s="28"/>
      <c r="G46" s="28"/>
      <c r="H46" s="28"/>
      <c r="I46" s="28"/>
      <c r="J46" s="28"/>
      <c r="K46" s="28"/>
      <c r="L46" s="13"/>
      <c r="M46" s="5"/>
      <c r="N46" s="5"/>
      <c r="O46" s="5"/>
      <c r="P46" s="5"/>
      <c r="Q46" s="5"/>
    </row>
    <row r="47" spans="1:17" ht="15">
      <c r="A47" s="25" t="s">
        <v>14</v>
      </c>
      <c r="B47" s="26"/>
      <c r="C47" s="26"/>
      <c r="D47" s="26"/>
      <c r="E47" s="26"/>
      <c r="F47" s="26"/>
      <c r="G47" s="26"/>
      <c r="H47" s="26"/>
      <c r="I47" s="26"/>
      <c r="J47" s="26"/>
      <c r="K47" s="26"/>
      <c r="L47" s="13">
        <f>735/1000</f>
        <v>0.735</v>
      </c>
      <c r="M47" s="5"/>
      <c r="N47" s="5"/>
      <c r="O47" s="5"/>
      <c r="P47" s="5"/>
      <c r="Q47" s="5"/>
    </row>
    <row r="48" spans="1:17" ht="15">
      <c r="A48" s="25" t="s">
        <v>15</v>
      </c>
      <c r="B48" s="26"/>
      <c r="C48" s="26"/>
      <c r="D48" s="26"/>
      <c r="E48" s="26"/>
      <c r="F48" s="26"/>
      <c r="G48" s="26"/>
      <c r="H48" s="26"/>
      <c r="I48" s="26"/>
      <c r="J48" s="26"/>
      <c r="K48" s="26"/>
      <c r="L48" s="13">
        <f>735/1000</f>
        <v>0.735</v>
      </c>
      <c r="M48" s="5"/>
      <c r="N48" s="5"/>
      <c r="O48" s="5"/>
      <c r="P48" s="5"/>
      <c r="Q48" s="5"/>
    </row>
    <row r="49" spans="1:17" ht="15">
      <c r="A49" s="25" t="s">
        <v>46</v>
      </c>
      <c r="B49" s="26"/>
      <c r="C49" s="26"/>
      <c r="D49" s="26"/>
      <c r="E49" s="26"/>
      <c r="F49" s="26"/>
      <c r="G49" s="26"/>
      <c r="H49" s="26"/>
      <c r="I49" s="26"/>
      <c r="J49" s="26"/>
      <c r="K49" s="26"/>
      <c r="L49" s="13">
        <f>31539/1000</f>
        <v>31.539</v>
      </c>
      <c r="M49" s="5"/>
      <c r="N49" s="5"/>
      <c r="O49" s="5"/>
      <c r="P49" s="5"/>
      <c r="Q49" s="5"/>
    </row>
    <row r="50" spans="1:17" ht="15" customHeight="1">
      <c r="A50" s="29" t="s">
        <v>36</v>
      </c>
      <c r="B50" s="30"/>
      <c r="C50" s="30"/>
      <c r="D50" s="30"/>
      <c r="E50" s="30"/>
      <c r="F50" s="30"/>
      <c r="G50" s="30"/>
      <c r="H50" s="30"/>
      <c r="I50" s="30"/>
      <c r="J50" s="30"/>
      <c r="K50" s="30"/>
      <c r="L50" s="18">
        <f>31539/1000</f>
        <v>31.539</v>
      </c>
      <c r="M50" s="5"/>
      <c r="N50" s="5"/>
      <c r="O50" s="5"/>
      <c r="P50" s="5"/>
      <c r="Q50" s="5"/>
    </row>
    <row r="51" spans="1:17" ht="16.5">
      <c r="A51" s="23" t="s">
        <v>49</v>
      </c>
      <c r="B51" s="24"/>
      <c r="C51" s="24"/>
      <c r="D51" s="24"/>
      <c r="E51" s="24"/>
      <c r="F51" s="24"/>
      <c r="G51" s="24"/>
      <c r="H51" s="24"/>
      <c r="I51" s="24"/>
      <c r="J51" s="24"/>
      <c r="K51" s="24"/>
      <c r="L51" s="24"/>
      <c r="M51" s="5"/>
      <c r="N51" s="5"/>
      <c r="O51" s="5"/>
      <c r="P51" s="5"/>
      <c r="Q51" s="5"/>
    </row>
    <row r="52" spans="1:17" ht="90">
      <c r="A52" s="14">
        <v>20</v>
      </c>
      <c r="B52" s="15" t="s">
        <v>37</v>
      </c>
      <c r="C52" s="15" t="s">
        <v>69</v>
      </c>
      <c r="D52" s="16" t="str">
        <f ca="1">IF(INDIRECT("H"&amp;ROW())="",INDIRECT("E"&amp;ROW()),"("&amp;INDIRECT("H"&amp;ROW())&amp;")")&amp;IF(INDIRECT("F"&amp;ROW())="0"," * 0",IF(INDIRECT("F"&amp;ROW())="",IF(INDIRECT("I"&amp;ROW())=""," "," * "&amp;INDIRECT("I"&amp;ROW()))," * "&amp;INDIRECT("F"&amp;ROW())))&amp;IF(INDIRECT("G"&amp;ROW())=""," "," * "&amp;INDIRECT("G"&amp;ROW()))</f>
        <v>1 * 10601.43 </v>
      </c>
      <c r="E52" s="17">
        <v>1</v>
      </c>
      <c r="F52" s="17" t="str">
        <f ca="1">IF(INDIRECT("J"&amp;ROW())="текущие цены",IF(INDIRECT("G"&amp;ROW())="","0","0"),IF(INDIRECT("G"&amp;ROW())="","10601.43","10601.43"))</f>
        <v>10601.43</v>
      </c>
      <c r="G52" s="17"/>
      <c r="H52" s="17"/>
      <c r="I52" s="17"/>
      <c r="J52" s="17" t="s">
        <v>6</v>
      </c>
      <c r="K52" s="17"/>
      <c r="L52" s="18">
        <f ca="1">IF(INDIRECT("J"&amp;ROW())="текущие цены",0/1000,10601/1000)</f>
        <v>10.601</v>
      </c>
      <c r="M52" s="5"/>
      <c r="N52" s="5"/>
      <c r="O52" s="5"/>
      <c r="P52" s="5"/>
      <c r="Q52" s="5"/>
    </row>
    <row r="53" spans="1:17" ht="15">
      <c r="A53" s="25" t="s">
        <v>72</v>
      </c>
      <c r="B53" s="26"/>
      <c r="C53" s="26"/>
      <c r="D53" s="26"/>
      <c r="E53" s="26"/>
      <c r="F53" s="26"/>
      <c r="G53" s="26"/>
      <c r="H53" s="26"/>
      <c r="I53" s="26"/>
      <c r="J53" s="26"/>
      <c r="K53" s="26"/>
      <c r="L53" s="13">
        <f>10601/1000</f>
        <v>10.601</v>
      </c>
      <c r="M53" s="5"/>
      <c r="N53" s="5"/>
      <c r="O53" s="5"/>
      <c r="P53" s="5"/>
      <c r="Q53" s="5"/>
    </row>
    <row r="54" spans="1:17" ht="15">
      <c r="A54" s="27" t="s">
        <v>38</v>
      </c>
      <c r="B54" s="28"/>
      <c r="C54" s="28"/>
      <c r="D54" s="28"/>
      <c r="E54" s="28"/>
      <c r="F54" s="28"/>
      <c r="G54" s="28"/>
      <c r="H54" s="28"/>
      <c r="I54" s="28"/>
      <c r="J54" s="28"/>
      <c r="K54" s="28"/>
      <c r="L54" s="13"/>
      <c r="M54" s="5"/>
      <c r="N54" s="5"/>
      <c r="O54" s="5"/>
      <c r="P54" s="5"/>
      <c r="Q54" s="5"/>
    </row>
    <row r="55" spans="1:17" ht="22.5" customHeight="1">
      <c r="A55" s="25" t="s">
        <v>14</v>
      </c>
      <c r="B55" s="26"/>
      <c r="C55" s="26"/>
      <c r="D55" s="26"/>
      <c r="E55" s="26"/>
      <c r="F55" s="26"/>
      <c r="G55" s="26"/>
      <c r="H55" s="26"/>
      <c r="I55" s="26"/>
      <c r="J55" s="26"/>
      <c r="K55" s="26"/>
      <c r="L55" s="13">
        <f>10601/1000</f>
        <v>10.601</v>
      </c>
      <c r="M55" s="5"/>
      <c r="N55" s="5"/>
      <c r="O55" s="5"/>
      <c r="P55" s="5"/>
      <c r="Q55" s="5"/>
    </row>
    <row r="56" spans="1:17" ht="15">
      <c r="A56" s="25" t="s">
        <v>15</v>
      </c>
      <c r="B56" s="26"/>
      <c r="C56" s="26"/>
      <c r="D56" s="26"/>
      <c r="E56" s="26"/>
      <c r="F56" s="26"/>
      <c r="G56" s="26"/>
      <c r="H56" s="26"/>
      <c r="I56" s="26"/>
      <c r="J56" s="26"/>
      <c r="K56" s="26"/>
      <c r="L56" s="13">
        <f>10601/1000</f>
        <v>10.601</v>
      </c>
      <c r="M56" s="5"/>
      <c r="N56" s="5"/>
      <c r="O56" s="5"/>
      <c r="P56" s="5"/>
      <c r="Q56" s="5"/>
    </row>
    <row r="57" spans="1:17" ht="15">
      <c r="A57" s="25" t="s">
        <v>39</v>
      </c>
      <c r="B57" s="26"/>
      <c r="C57" s="26"/>
      <c r="D57" s="26"/>
      <c r="E57" s="26"/>
      <c r="F57" s="26"/>
      <c r="G57" s="26"/>
      <c r="H57" s="26"/>
      <c r="I57" s="26"/>
      <c r="J57" s="26"/>
      <c r="K57" s="26"/>
      <c r="L57" s="13">
        <f>10601/1000</f>
        <v>10.601</v>
      </c>
      <c r="M57" s="5"/>
      <c r="N57" s="5"/>
      <c r="O57" s="5"/>
      <c r="P57" s="5"/>
      <c r="Q57" s="5"/>
    </row>
    <row r="58" spans="1:17" ht="15" customHeight="1">
      <c r="A58" s="29" t="s">
        <v>40</v>
      </c>
      <c r="B58" s="30"/>
      <c r="C58" s="30"/>
      <c r="D58" s="30"/>
      <c r="E58" s="30"/>
      <c r="F58" s="30"/>
      <c r="G58" s="30"/>
      <c r="H58" s="30"/>
      <c r="I58" s="30"/>
      <c r="J58" s="30"/>
      <c r="K58" s="30"/>
      <c r="L58" s="18">
        <f>10601/1000</f>
        <v>10.601</v>
      </c>
      <c r="M58" s="5"/>
      <c r="N58" s="5"/>
      <c r="O58" s="5"/>
      <c r="P58" s="5"/>
      <c r="Q58" s="5"/>
    </row>
    <row r="59" spans="1:17" ht="15">
      <c r="A59" s="32" t="s">
        <v>73</v>
      </c>
      <c r="B59" s="26"/>
      <c r="C59" s="26"/>
      <c r="D59" s="26"/>
      <c r="E59" s="26"/>
      <c r="F59" s="26"/>
      <c r="G59" s="26"/>
      <c r="H59" s="26"/>
      <c r="I59" s="26"/>
      <c r="J59" s="26"/>
      <c r="K59" s="26"/>
      <c r="L59" s="19">
        <f>15086/1000</f>
        <v>15.086</v>
      </c>
      <c r="M59" s="5"/>
      <c r="N59" s="5"/>
      <c r="O59" s="5"/>
      <c r="P59" s="5"/>
      <c r="Q59" s="5"/>
    </row>
    <row r="60" spans="1:17" ht="15">
      <c r="A60" s="31" t="s">
        <v>41</v>
      </c>
      <c r="B60" s="28"/>
      <c r="C60" s="28"/>
      <c r="D60" s="28"/>
      <c r="E60" s="28"/>
      <c r="F60" s="28"/>
      <c r="G60" s="28"/>
      <c r="H60" s="28"/>
      <c r="I60" s="28"/>
      <c r="J60" s="28"/>
      <c r="K60" s="28"/>
      <c r="L60" s="19"/>
      <c r="M60" s="5"/>
      <c r="N60" s="5"/>
      <c r="O60" s="5"/>
      <c r="P60" s="5"/>
      <c r="Q60" s="5"/>
    </row>
    <row r="61" spans="1:17" ht="15">
      <c r="A61" s="32" t="s">
        <v>70</v>
      </c>
      <c r="B61" s="26"/>
      <c r="C61" s="26"/>
      <c r="D61" s="26"/>
      <c r="E61" s="26"/>
      <c r="F61" s="26"/>
      <c r="G61" s="26"/>
      <c r="H61" s="26"/>
      <c r="I61" s="26"/>
      <c r="J61" s="26"/>
      <c r="K61" s="26"/>
      <c r="L61" s="19">
        <f>192451/1000</f>
        <v>192.451</v>
      </c>
      <c r="M61" s="5"/>
      <c r="N61" s="5"/>
      <c r="O61" s="5"/>
      <c r="P61" s="5"/>
      <c r="Q61" s="5"/>
    </row>
    <row r="62" spans="1:17" ht="15">
      <c r="A62" s="32" t="s">
        <v>71</v>
      </c>
      <c r="B62" s="26"/>
      <c r="C62" s="26"/>
      <c r="D62" s="26"/>
      <c r="E62" s="26"/>
      <c r="F62" s="26"/>
      <c r="G62" s="26"/>
      <c r="H62" s="26"/>
      <c r="I62" s="26"/>
      <c r="J62" s="26"/>
      <c r="K62" s="26"/>
      <c r="L62" s="19">
        <f>10601/1000</f>
        <v>10.601</v>
      </c>
      <c r="M62" s="5"/>
      <c r="N62" s="5"/>
      <c r="O62" s="5"/>
      <c r="P62" s="5"/>
      <c r="Q62" s="5"/>
    </row>
    <row r="63" spans="1:17" ht="15">
      <c r="A63" s="32" t="s">
        <v>15</v>
      </c>
      <c r="B63" s="26"/>
      <c r="C63" s="26"/>
      <c r="D63" s="26"/>
      <c r="E63" s="26"/>
      <c r="F63" s="26"/>
      <c r="G63" s="26"/>
      <c r="H63" s="26"/>
      <c r="I63" s="26"/>
      <c r="J63" s="26"/>
      <c r="K63" s="26"/>
      <c r="L63" s="19">
        <f>203052/1000</f>
        <v>203.052</v>
      </c>
      <c r="M63" s="5"/>
      <c r="N63" s="5"/>
      <c r="O63" s="5"/>
      <c r="P63" s="5"/>
      <c r="Q63" s="5"/>
    </row>
    <row r="64" spans="1:17" ht="15" customHeight="1">
      <c r="A64" s="32" t="s">
        <v>42</v>
      </c>
      <c r="B64" s="26"/>
      <c r="C64" s="26"/>
      <c r="D64" s="26"/>
      <c r="E64" s="26"/>
      <c r="F64" s="26"/>
      <c r="G64" s="26"/>
      <c r="H64" s="26"/>
      <c r="I64" s="26"/>
      <c r="J64" s="26"/>
      <c r="K64" s="26"/>
      <c r="L64" s="19">
        <f>36549/1000</f>
        <v>36.549</v>
      </c>
      <c r="M64" s="5"/>
      <c r="N64" s="5"/>
      <c r="O64" s="5"/>
      <c r="P64" s="5"/>
      <c r="Q64" s="5"/>
    </row>
    <row r="65" spans="1:17" ht="15">
      <c r="A65" s="31" t="s">
        <v>43</v>
      </c>
      <c r="B65" s="28"/>
      <c r="C65" s="28"/>
      <c r="D65" s="28"/>
      <c r="E65" s="28"/>
      <c r="F65" s="28"/>
      <c r="G65" s="28"/>
      <c r="H65" s="28"/>
      <c r="I65" s="28"/>
      <c r="J65" s="28"/>
      <c r="K65" s="28"/>
      <c r="L65" s="19">
        <f>239601/1000</f>
        <v>239.601</v>
      </c>
      <c r="M65" s="5"/>
      <c r="N65" s="5"/>
      <c r="O65" s="5"/>
      <c r="P65" s="5"/>
      <c r="Q65" s="5"/>
    </row>
    <row r="66" spans="1:17" ht="15">
      <c r="A66" s="20" t="s">
        <v>77</v>
      </c>
      <c r="B66" s="20"/>
      <c r="C66" s="20"/>
      <c r="D66" s="20"/>
      <c r="E66" s="20"/>
      <c r="F66" s="20"/>
      <c r="G66" s="20"/>
      <c r="H66" s="20"/>
      <c r="I66" s="20"/>
      <c r="J66" s="20"/>
      <c r="K66" s="20"/>
      <c r="L66" s="20"/>
      <c r="M66" s="6"/>
      <c r="N66" s="7"/>
      <c r="O66" s="7"/>
      <c r="P66" s="7"/>
      <c r="Q66" s="7"/>
    </row>
    <row r="67" spans="1:12" ht="15">
      <c r="A67" s="20"/>
      <c r="B67" s="20"/>
      <c r="C67" s="20"/>
      <c r="D67" s="20"/>
      <c r="E67" s="20"/>
      <c r="F67" s="20"/>
      <c r="G67" s="20"/>
      <c r="H67" s="20"/>
      <c r="I67" s="20"/>
      <c r="J67" s="20"/>
      <c r="K67" s="20"/>
      <c r="L67" s="20"/>
    </row>
  </sheetData>
  <sheetProtection/>
  <mergeCells count="45">
    <mergeCell ref="A1:L1"/>
    <mergeCell ref="A2:L2"/>
    <mergeCell ref="A3:L3"/>
    <mergeCell ref="A4:L4"/>
    <mergeCell ref="A64:K64"/>
    <mergeCell ref="A37:K37"/>
    <mergeCell ref="A49:K49"/>
    <mergeCell ref="A50:K50"/>
    <mergeCell ref="A51:L51"/>
    <mergeCell ref="A39:K39"/>
    <mergeCell ref="A40:L40"/>
    <mergeCell ref="A45:K45"/>
    <mergeCell ref="A46:K46"/>
    <mergeCell ref="A47:K47"/>
    <mergeCell ref="A61:K61"/>
    <mergeCell ref="A62:K62"/>
    <mergeCell ref="A63:K63"/>
    <mergeCell ref="A53:K53"/>
    <mergeCell ref="A54:K54"/>
    <mergeCell ref="A55:K55"/>
    <mergeCell ref="A56:K56"/>
    <mergeCell ref="A57:K57"/>
    <mergeCell ref="A7:L7"/>
    <mergeCell ref="B8:D8"/>
    <mergeCell ref="A58:K58"/>
    <mergeCell ref="A59:K59"/>
    <mergeCell ref="A60:K60"/>
    <mergeCell ref="A48:K48"/>
    <mergeCell ref="A36:K36"/>
    <mergeCell ref="A67:L67"/>
    <mergeCell ref="A5:L5"/>
    <mergeCell ref="A6:L6"/>
    <mergeCell ref="A11:L11"/>
    <mergeCell ref="A16:K16"/>
    <mergeCell ref="A38:K38"/>
    <mergeCell ref="A17:K17"/>
    <mergeCell ref="A18:K18"/>
    <mergeCell ref="A19:K19"/>
    <mergeCell ref="A20:K20"/>
    <mergeCell ref="A21:K21"/>
    <mergeCell ref="A22:L22"/>
    <mergeCell ref="A34:K34"/>
    <mergeCell ref="A35:K35"/>
    <mergeCell ref="A66:L66"/>
    <mergeCell ref="A65:K65"/>
  </mergeCells>
  <printOptions/>
  <pageMargins left="0.7874015748031497" right="0.3937007874015748" top="0.3937007874015748" bottom="0.3937007874015748" header="0.2362204724409449" footer="0.2362204724409449"/>
  <pageSetup fitToHeight="30000" fitToWidth="1" horizontalDpi="600" verticalDpi="600" orientation="portrait" paperSize="9" scale="69" r:id="rId3"/>
  <headerFooter alignWithMargins="0">
    <oddHeader>&amp;LГРАНД-Смета</oddHeader>
    <oddFooter>&amp;R&amp;P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a.pastuhova</dc:creator>
  <cp:keywords/>
  <dc:description>27.04.2009</dc:description>
  <cp:lastModifiedBy>e.plahova</cp:lastModifiedBy>
  <cp:lastPrinted>2015-08-11T06:07:18Z</cp:lastPrinted>
  <dcterms:created xsi:type="dcterms:W3CDTF">2007-02-21T08:42:24Z</dcterms:created>
  <dcterms:modified xsi:type="dcterms:W3CDTF">2015-10-01T10:55:22Z</dcterms:modified>
  <cp:category/>
  <cp:version/>
  <cp:contentType/>
  <cp:contentStatus/>
</cp:coreProperties>
</file>