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данные'!$18:$18</definedName>
    <definedName name="_xlnm.Print_Area" localSheetId="0">'Мои данные'!$A$1:$L$53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54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8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8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4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44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8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8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8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8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8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8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A2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8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56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8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A15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сметы&gt;</t>
        </r>
      </text>
    </comment>
  </commentList>
</comments>
</file>

<file path=xl/sharedStrings.xml><?xml version="1.0" encoding="utf-8"?>
<sst xmlns="http://schemas.openxmlformats.org/spreadsheetml/2006/main" count="79" uniqueCount="65">
  <si>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</si>
  <si>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</si>
  <si>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</si>
  <si>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</si>
  <si>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Водозаборы из подземных источников (скважин) производительностью: св. 140 до 420 м3/ч</t>
  </si>
  <si>
    <t>цены 2001</t>
  </si>
  <si>
    <t>Сооружения очистки воды для хозяйственно-питьевых целей производительностью: св. 100 до 1000 м3/сут</t>
  </si>
  <si>
    <t>Насосная станция II-го подъема, подкачки или систем оборотного водоснабжения производительностью: св. 0,1 до 1 тыс.м3/ч</t>
  </si>
  <si>
    <t>Резервуары для воды емкостью: до 1 тыс.м3</t>
  </si>
  <si>
    <t>(Прим.10В случае устройства резервуаров без обвалования и необходимости дополнительного проектирования отвода поверхностного стока и ограждения резервуара ПЗ=1,1)</t>
  </si>
  <si>
    <t>Водовод при подземной (наземной) прокладке и расходе от 300 до 1000 м3/ч длиной: до 10 км</t>
  </si>
  <si>
    <t>Канализационные коллекторы с сооружениями на них, пропускной способностью до 500 м3/ч, прокладываемые по незастроенной территории: рельеф местности II группы сложности</t>
  </si>
  <si>
    <t>Итоги по разделу 1 Водоочистные сооружения :</t>
  </si>
  <si>
    <t xml:space="preserve">  Проектные работы: Объекты ВиК (2004,2008)</t>
  </si>
  <si>
    <t xml:space="preserve">  Итого</t>
  </si>
  <si>
    <t xml:space="preserve">  Итого по разделу 1 Водоочистные сооружения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</si>
  <si>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полевые работы</t>
  </si>
  <si>
    <t>(УБЦ2 табл.4 п.3.Расходы по внутреннему транспорту при расстоянии от базы до участка изысканий 10-15 км, при сметной ст-ти полевых изыск. работ 300-750 тыс. руб. ПЗ=10%)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</si>
  <si>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камеральные работы</t>
  </si>
  <si>
    <t>Инженерно-геодезические изыскания трасс магистральных трубопроводов: 2 категории сложности - полевые работы</t>
  </si>
  <si>
    <t>Инженерно-геодезические изыскания трасс магистральных трубопроводов: 2 категории сложности - камеральные работы</t>
  </si>
  <si>
    <t>Работы по регистрации (оформлению разрешений) инженерных изысканий для строительства и приемке материалов выполненных топографо-геодезических работ. Сметная стоимость изысканий в ценах на 01.01.01 г. до 25 тыс.руб. - цена = 4%</t>
  </si>
  <si>
    <t>Итоги по разделу 2 Инженерно-геодезические изыскания :</t>
  </si>
  <si>
    <t xml:space="preserve">  Инженерно-геодезические изыскания (2004)</t>
  </si>
  <si>
    <t xml:space="preserve">  Итого по разделу 2 Инженерно-геодезические изыскания</t>
  </si>
  <si>
    <t>Итоги по смете:</t>
  </si>
  <si>
    <t xml:space="preserve">  НДС 18%</t>
  </si>
  <si>
    <t xml:space="preserve">  ВСЕГО по смете</t>
  </si>
  <si>
    <t xml:space="preserve">                            Водоочистные сооружения</t>
  </si>
  <si>
    <t>170040*1+740*200</t>
  </si>
  <si>
    <t>233980*1+149*200</t>
  </si>
  <si>
    <t>169420*1+333520*0,2</t>
  </si>
  <si>
    <t>(20720*2+75360*1)*1,1</t>
  </si>
  <si>
    <t>61260*1+32800*0,3</t>
  </si>
  <si>
    <t>95380*1+15930*0,3</t>
  </si>
  <si>
    <t xml:space="preserve">  Всего с учетом Перевод в текущие цены на 1 июля  2015г. (Инф.сб.УЦИС КО выпуск № 32 (136)) 3,73</t>
  </si>
  <si>
    <t xml:space="preserve">                            Инженерно-геодезические изыскания</t>
  </si>
  <si>
    <t xml:space="preserve">  Всего с учетом Перевод в текущие цены на 1 июля  2015г. (Инф.сб.УЦИС КО выпуск № 32 (136)) 3,79</t>
  </si>
  <si>
    <r>
      <t xml:space="preserve">СБЦ11-2-03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</si>
  <si>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СБЦ11-21-02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</si>
  <si>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СБЦ11-5-03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</si>
  <si>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СБЦ11-5-10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</si>
  <si>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СБЦ11-3-01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</si>
  <si>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СБЦ11-8-02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</si>
  <si>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УБЦ2-9-3-2-1
</t>
    </r>
    <r>
      <rPr>
        <i/>
        <sz val="11"/>
        <rFont val="Arial"/>
        <family val="2"/>
      </rPr>
      <t>"Инж.-геодез. изыск.(2004 г.)"
(УБЦ2 табл.4 п.3.Расходы по внутреннему транспорту при расстоянии от базы до участка изысканий 10-15 км, при сметной ст-ти полевых изыск. работ 300-750 тыс. руб. ПЗ=10%)</t>
    </r>
  </si>
  <si>
    <r>
      <t xml:space="preserve">УБЦ2-9-3-2-2
</t>
    </r>
    <r>
      <rPr>
        <i/>
        <sz val="11"/>
        <rFont val="Arial"/>
        <family val="2"/>
      </rPr>
      <t>"Инж.-геодез. изыск.(2004 г.)"</t>
    </r>
  </si>
  <si>
    <r>
      <t xml:space="preserve">УБЦ2-13-1-2-1
</t>
    </r>
    <r>
      <rPr>
        <i/>
        <sz val="11"/>
        <rFont val="Arial"/>
        <family val="2"/>
      </rPr>
      <t>"Инж.-геодез. изыск.(2004 г.)"</t>
    </r>
  </si>
  <si>
    <r>
      <t xml:space="preserve">УБЦ2-13-1-2-2
</t>
    </r>
    <r>
      <rPr>
        <i/>
        <sz val="11"/>
        <rFont val="Arial"/>
        <family val="2"/>
      </rPr>
      <t>"Инж.-геодез. изыск.(2004 г.)"</t>
    </r>
  </si>
  <si>
    <r>
      <t xml:space="preserve">УБЦ2-80-1
</t>
    </r>
    <r>
      <rPr>
        <i/>
        <sz val="11"/>
        <rFont val="Arial"/>
        <family val="2"/>
      </rPr>
      <t>"Инж.-геодез. изыск.(2004 г.)"</t>
    </r>
  </si>
  <si>
    <t xml:space="preserve">  Итого Перевод в текущие цены на 1 июля  2015г. (Инф.сб.УЦИС КО выпуск № 32 (136)) 3,73</t>
  </si>
  <si>
    <t xml:space="preserve">  Итого Перевод в текущие цены на 1 июля  2015г. (Инф.сб.УЦИС КО выпуск № 32 (136)) 3,79</t>
  </si>
  <si>
    <t>Итого затраты по разделу</t>
  </si>
  <si>
    <t>Итого затраты по смете</t>
  </si>
  <si>
    <t>УТВЕРЖДАЮ:</t>
  </si>
  <si>
    <t>Руководитель управления капитального ремонта и строительства</t>
  </si>
  <si>
    <t>ГП "Калугаоблводоканал"</t>
  </si>
  <si>
    <t>_______________Сергеев М.А.</t>
  </si>
  <si>
    <t>"______ " _____________2015г.</t>
  </si>
  <si>
    <t>Составил: ___________________________Е.А. Миронова</t>
  </si>
  <si>
    <t>(должность, подпись, расшифровка)</t>
  </si>
  <si>
    <t>Сметный расчет на проектно-изыскательские работы</t>
  </si>
  <si>
    <t>"Строительство станции очистки питьевой воды с комплексом сооружений насосной станции II</t>
  </si>
  <si>
    <t>подъема в г.Козельске Калужской области"</t>
  </si>
  <si>
    <t>Стоимость работ, тыс.руб.</t>
  </si>
  <si>
    <t>Приложение № 2  к закупочной документации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</si>
</sst>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1" fillId="32" borderId="0" applyNumberFormat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0" xfId="78" applyFont="1" applyBorder="1" applyAlignment="1">
      <alignment horizontal="left" vertical="top" wrapText="1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15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7" fillId="0" borderId="0" xfId="78" applyFont="1" applyBorder="1" applyAlignment="1">
      <alignment wrapText="1"/>
      <protection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10" fillId="0" borderId="0" xfId="78" applyFont="1" applyBorder="1" applyAlignment="1">
      <alignment horizontal="left" vertical="top" wrapText="1"/>
      <protection/>
    </xf>
    <xf numFmtId="0" fontId="9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78" applyFont="1" applyBorder="1" applyAlignment="1">
      <alignment horizontal="center" vertical="top" wrapText="1"/>
      <protection/>
    </xf>
    <xf numFmtId="0" fontId="7" fillId="0" borderId="0" xfId="78" applyFont="1" applyBorder="1" applyAlignment="1">
      <alignment horizontal="left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view="pageBreakPreview" zoomScaleSheetLayoutView="100" zoomScalePageLayoutView="0" workbookViewId="0" topLeftCell="A1">
      <selection activeCell="D6" sqref="D6:L6"/>
    </sheetView>
  </sheetViews>
  <sheetFormatPr defaultColWidth="9.00390625" defaultRowHeight="12.75"/>
  <cols>
    <col min="1" max="1" width="5.00390625" style="1" customWidth="1"/>
    <col min="2" max="2" width="40.875" style="1" customWidth="1"/>
    <col min="3" max="3" width="24.00390625" style="1" customWidth="1"/>
    <col min="4" max="4" width="23.875" style="1" customWidth="1"/>
    <col min="5" max="10" width="22.125" style="1" hidden="1" customWidth="1"/>
    <col min="11" max="11" width="73.75390625" style="1" hidden="1" customWidth="1"/>
    <col min="12" max="12" width="12.75390625" style="1" customWidth="1"/>
    <col min="13" max="15" width="9.125" style="1" customWidth="1"/>
    <col min="16" max="16384" width="9.125" style="1" customWidth="1"/>
  </cols>
  <sheetData>
    <row r="1" spans="1:12" ht="15">
      <c r="A1" s="29"/>
      <c r="B1" s="29"/>
      <c r="C1" s="29"/>
      <c r="D1" s="29"/>
      <c r="L1" s="2" t="s">
        <v>64</v>
      </c>
    </row>
    <row r="2" spans="1:4" ht="15">
      <c r="A2" s="46"/>
      <c r="B2" s="46"/>
      <c r="C2" s="46"/>
      <c r="D2" s="46"/>
    </row>
    <row r="3" spans="1:12" ht="15.75">
      <c r="A3"/>
      <c r="B3"/>
      <c r="C3"/>
      <c r="D3" s="25" t="s">
        <v>53</v>
      </c>
      <c r="E3" s="26" t="s">
        <v>53</v>
      </c>
      <c r="F3"/>
      <c r="G3"/>
      <c r="H3"/>
      <c r="I3"/>
      <c r="J3"/>
      <c r="K3"/>
      <c r="L3"/>
    </row>
    <row r="4" spans="1:12" ht="34.5" customHeight="1">
      <c r="A4"/>
      <c r="B4"/>
      <c r="C4" s="49" t="s">
        <v>54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ht="34.5" customHeight="1">
      <c r="A5"/>
      <c r="B5"/>
      <c r="C5"/>
      <c r="D5" s="41" t="s">
        <v>55</v>
      </c>
      <c r="E5" s="41"/>
      <c r="F5" s="41"/>
      <c r="G5" s="41"/>
      <c r="H5" s="41"/>
      <c r="I5" s="41"/>
      <c r="J5" s="41"/>
      <c r="K5" s="41"/>
      <c r="L5" s="41"/>
    </row>
    <row r="6" spans="1:12" ht="15">
      <c r="A6"/>
      <c r="B6"/>
      <c r="C6"/>
      <c r="D6" s="41" t="s">
        <v>56</v>
      </c>
      <c r="E6" s="41"/>
      <c r="F6" s="41"/>
      <c r="G6" s="41"/>
      <c r="H6" s="41"/>
      <c r="I6" s="41"/>
      <c r="J6" s="41"/>
      <c r="K6" s="41"/>
      <c r="L6" s="41"/>
    </row>
    <row r="7" spans="1:12" ht="15">
      <c r="A7"/>
      <c r="B7"/>
      <c r="C7"/>
      <c r="D7" s="27" t="s">
        <v>57</v>
      </c>
      <c r="E7"/>
      <c r="F7"/>
      <c r="G7"/>
      <c r="H7"/>
      <c r="I7"/>
      <c r="J7"/>
      <c r="K7"/>
      <c r="L7"/>
    </row>
    <row r="8" spans="1:4" ht="15">
      <c r="A8" s="12"/>
      <c r="B8" s="12"/>
      <c r="C8" s="12"/>
      <c r="D8" s="12"/>
    </row>
    <row r="9" spans="1:4" ht="15">
      <c r="A9" s="12"/>
      <c r="B9" s="12"/>
      <c r="C9" s="12"/>
      <c r="D9" s="12"/>
    </row>
    <row r="10" spans="1:4" ht="15">
      <c r="A10" s="12"/>
      <c r="B10" s="12"/>
      <c r="C10" s="12"/>
      <c r="D10" s="12"/>
    </row>
    <row r="11" spans="1:12" ht="18">
      <c r="A11" s="43" t="s">
        <v>60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">
      <c r="A13" s="3"/>
      <c r="B13" s="3" t="s">
        <v>61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44" t="s">
        <v>62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s="7" customFormat="1" ht="150">
      <c r="A17" s="6" t="s">
        <v>0</v>
      </c>
      <c r="B17" s="6" t="s">
        <v>1</v>
      </c>
      <c r="C17" s="6" t="s">
        <v>2</v>
      </c>
      <c r="D17" s="6" t="s">
        <v>3</v>
      </c>
      <c r="E17" s="6"/>
      <c r="F17" s="6"/>
      <c r="G17" s="6"/>
      <c r="H17" s="6"/>
      <c r="I17" s="6"/>
      <c r="J17" s="6"/>
      <c r="K17" s="6"/>
      <c r="L17" s="6" t="s">
        <v>63</v>
      </c>
    </row>
    <row r="18" spans="1:12" ht="15">
      <c r="A18" s="13">
        <v>1</v>
      </c>
      <c r="B18" s="13">
        <v>2</v>
      </c>
      <c r="C18" s="13">
        <v>3</v>
      </c>
      <c r="D18" s="13">
        <v>4</v>
      </c>
      <c r="E18" s="13"/>
      <c r="F18" s="13"/>
      <c r="G18" s="13"/>
      <c r="H18" s="13"/>
      <c r="I18" s="13"/>
      <c r="J18" s="13"/>
      <c r="K18" s="13"/>
      <c r="L18" s="13">
        <v>5</v>
      </c>
    </row>
    <row r="19" spans="1:12" s="8" customFormat="1" ht="22.5" customHeight="1">
      <c r="A19" s="47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7" s="10" customFormat="1" ht="60">
      <c r="A20" s="14">
        <v>1</v>
      </c>
      <c r="B20" s="15" t="s">
        <v>4</v>
      </c>
      <c r="C20" s="15" t="s">
        <v>38</v>
      </c>
      <c r="D20" s="16" t="s">
        <v>29</v>
      </c>
      <c r="E20" s="17">
        <v>1</v>
      </c>
      <c r="F20" s="17" t="str">
        <f ca="1">IF(INDIRECT("J"&amp;ROW())="текущие цены",IF(INDIRECT("G"&amp;ROW())="","0","0"),IF(INDIRECT("G"&amp;ROW())="","170040","170040"))</f>
        <v>170040</v>
      </c>
      <c r="G20" s="17"/>
      <c r="H20" s="17"/>
      <c r="I20" s="17"/>
      <c r="J20" s="17" t="s">
        <v>5</v>
      </c>
      <c r="K20" s="17"/>
      <c r="L20" s="18">
        <v>318.03999999999996</v>
      </c>
      <c r="M20" s="8"/>
      <c r="N20" s="8"/>
      <c r="O20" s="8"/>
      <c r="P20" s="8"/>
      <c r="Q20" s="8"/>
    </row>
    <row r="21" spans="1:17" ht="60">
      <c r="A21" s="14">
        <v>2</v>
      </c>
      <c r="B21" s="15" t="s">
        <v>6</v>
      </c>
      <c r="C21" s="15" t="s">
        <v>39</v>
      </c>
      <c r="D21" s="16" t="s">
        <v>30</v>
      </c>
      <c r="E21" s="17">
        <v>1</v>
      </c>
      <c r="F21" s="17" t="str">
        <f ca="1">IF(INDIRECT("J"&amp;ROW())="текущие цены",IF(INDIRECT("G"&amp;ROW())="","0","0"),IF(INDIRECT("G"&amp;ROW())="","233980","233980"))</f>
        <v>233980</v>
      </c>
      <c r="G21" s="17"/>
      <c r="H21" s="17"/>
      <c r="I21" s="17"/>
      <c r="J21" s="17" t="s">
        <v>5</v>
      </c>
      <c r="K21" s="17"/>
      <c r="L21" s="18">
        <v>263.78</v>
      </c>
      <c r="M21" s="8"/>
      <c r="N21" s="8"/>
      <c r="O21" s="8"/>
      <c r="P21" s="8"/>
      <c r="Q21" s="8"/>
    </row>
    <row r="22" spans="1:17" ht="60">
      <c r="A22" s="14">
        <v>3</v>
      </c>
      <c r="B22" s="15" t="s">
        <v>7</v>
      </c>
      <c r="C22" s="15" t="s">
        <v>40</v>
      </c>
      <c r="D22" s="16" t="s">
        <v>31</v>
      </c>
      <c r="E22" s="17">
        <v>1</v>
      </c>
      <c r="F22" s="17" t="str">
        <f ca="1">IF(INDIRECT("J"&amp;ROW())="текущие цены",IF(INDIRECT("G"&amp;ROW())="","0","0"),IF(INDIRECT("G"&amp;ROW())="","169420","169420"))</f>
        <v>169420</v>
      </c>
      <c r="G22" s="17"/>
      <c r="H22" s="17"/>
      <c r="I22" s="17"/>
      <c r="J22" s="17" t="s">
        <v>5</v>
      </c>
      <c r="K22" s="17"/>
      <c r="L22" s="18">
        <v>236.12399999999997</v>
      </c>
      <c r="M22" s="8"/>
      <c r="N22" s="8"/>
      <c r="O22" s="8"/>
      <c r="P22" s="8"/>
      <c r="Q22" s="8"/>
    </row>
    <row r="23" spans="1:17" ht="60">
      <c r="A23" s="14">
        <v>4</v>
      </c>
      <c r="B23" s="15" t="s">
        <v>8</v>
      </c>
      <c r="C23" s="15" t="s">
        <v>41</v>
      </c>
      <c r="D23" s="16" t="s">
        <v>32</v>
      </c>
      <c r="E23" s="17">
        <v>2</v>
      </c>
      <c r="F23" s="17" t="str">
        <f ca="1">IF(INDIRECT("J"&amp;ROW())="текущие цены",IF(INDIRECT("G"&amp;ROW())="","0","0"),IF(INDIRECT("G"&amp;ROW())="","22792","20720"))</f>
        <v>20720</v>
      </c>
      <c r="G23" s="17">
        <v>1.1</v>
      </c>
      <c r="H23" s="17"/>
      <c r="I23" s="17"/>
      <c r="J23" s="17" t="s">
        <v>5</v>
      </c>
      <c r="K23" s="17" t="s">
        <v>9</v>
      </c>
      <c r="L23" s="18">
        <v>128.48000000000002</v>
      </c>
      <c r="M23" s="8"/>
      <c r="N23" s="8"/>
      <c r="O23" s="8"/>
      <c r="P23" s="8"/>
      <c r="Q23" s="8"/>
    </row>
    <row r="24" spans="1:17" ht="60">
      <c r="A24" s="14">
        <v>5</v>
      </c>
      <c r="B24" s="15" t="s">
        <v>10</v>
      </c>
      <c r="C24" s="15" t="s">
        <v>42</v>
      </c>
      <c r="D24" s="16" t="s">
        <v>33</v>
      </c>
      <c r="E24" s="17">
        <v>1</v>
      </c>
      <c r="F24" s="17" t="str">
        <f ca="1">IF(INDIRECT("J"&amp;ROW())="текущие цены",IF(INDIRECT("G"&amp;ROW())="","0","0"),IF(INDIRECT("G"&amp;ROW())="","61260","61260"))</f>
        <v>61260</v>
      </c>
      <c r="G24" s="17"/>
      <c r="H24" s="17"/>
      <c r="I24" s="17"/>
      <c r="J24" s="17" t="s">
        <v>5</v>
      </c>
      <c r="K24" s="17"/>
      <c r="L24" s="18">
        <v>71.1</v>
      </c>
      <c r="M24" s="8"/>
      <c r="N24" s="8"/>
      <c r="O24" s="8"/>
      <c r="P24" s="8"/>
      <c r="Q24" s="8"/>
    </row>
    <row r="25" spans="1:17" ht="75">
      <c r="A25" s="14">
        <v>6</v>
      </c>
      <c r="B25" s="15" t="s">
        <v>11</v>
      </c>
      <c r="C25" s="15" t="s">
        <v>43</v>
      </c>
      <c r="D25" s="16" t="s">
        <v>34</v>
      </c>
      <c r="E25" s="17">
        <v>1</v>
      </c>
      <c r="F25" s="17" t="str">
        <f ca="1">IF(INDIRECT("J"&amp;ROW())="текущие цены",IF(INDIRECT("G"&amp;ROW())="","0","0"),IF(INDIRECT("G"&amp;ROW())="","95380","95380"))</f>
        <v>95380</v>
      </c>
      <c r="G25" s="17"/>
      <c r="H25" s="17"/>
      <c r="I25" s="17"/>
      <c r="J25" s="17" t="s">
        <v>5</v>
      </c>
      <c r="K25" s="17"/>
      <c r="L25" s="18">
        <v>100.15899999999999</v>
      </c>
      <c r="M25" s="8"/>
      <c r="N25" s="8"/>
      <c r="O25" s="8"/>
      <c r="P25" s="8"/>
      <c r="Q25" s="8"/>
    </row>
    <row r="26" spans="1:17" ht="15">
      <c r="A26" s="38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18">
        <f>1117683/1000</f>
        <v>1117.683</v>
      </c>
      <c r="M26" s="8"/>
      <c r="N26" s="8"/>
      <c r="O26" s="8"/>
      <c r="P26" s="8"/>
      <c r="Q26" s="8"/>
    </row>
    <row r="27" spans="1:17" ht="15.75">
      <c r="A27" s="37" t="s">
        <v>12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18"/>
      <c r="M27" s="8"/>
      <c r="N27" s="8"/>
      <c r="O27" s="8"/>
      <c r="P27" s="8"/>
      <c r="Q27" s="8"/>
    </row>
    <row r="28" spans="1:17" ht="15">
      <c r="A28" s="38" t="s">
        <v>13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8">
        <f>1117683/1000</f>
        <v>1117.683</v>
      </c>
      <c r="M28" s="8"/>
      <c r="N28" s="8"/>
      <c r="O28" s="8"/>
      <c r="P28" s="8"/>
      <c r="Q28" s="8"/>
    </row>
    <row r="29" spans="1:17" ht="15">
      <c r="A29" s="38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18">
        <f>1117683/1000</f>
        <v>1117.683</v>
      </c>
      <c r="M29" s="8"/>
      <c r="N29" s="8"/>
      <c r="O29" s="8"/>
      <c r="P29" s="8"/>
      <c r="Q29" s="8"/>
    </row>
    <row r="30" spans="1:17" ht="15">
      <c r="A30" s="38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8">
        <f>4168957.59/1000</f>
        <v>4168.95759</v>
      </c>
      <c r="M30" s="8"/>
      <c r="N30" s="8"/>
      <c r="O30" s="8"/>
      <c r="P30" s="8"/>
      <c r="Q30" s="8"/>
    </row>
    <row r="31" spans="1:17" ht="15" customHeight="1">
      <c r="A31" s="39" t="s">
        <v>15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3">
        <f>4168957.59/1000</f>
        <v>4168.95759</v>
      </c>
      <c r="M31" s="8"/>
      <c r="N31" s="8"/>
      <c r="O31" s="8"/>
      <c r="P31" s="8"/>
      <c r="Q31" s="8"/>
    </row>
    <row r="32" spans="1:17" ht="16.5">
      <c r="A32" s="47" t="s">
        <v>36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8"/>
      <c r="N32" s="8"/>
      <c r="O32" s="8"/>
      <c r="P32" s="8"/>
      <c r="Q32" s="8"/>
    </row>
    <row r="33" spans="1:17" ht="180">
      <c r="A33" s="14">
        <v>7</v>
      </c>
      <c r="B33" s="15" t="s">
        <v>16</v>
      </c>
      <c r="C33" s="15" t="s">
        <v>44</v>
      </c>
      <c r="D33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4991 * 1,1</v>
      </c>
      <c r="E33" s="17">
        <v>1</v>
      </c>
      <c r="F33" s="17" t="str">
        <f ca="1">IF(INDIRECT("J"&amp;ROW())="текущие цены",IF(INDIRECT("G"&amp;ROW())="","0","0"),IF(INDIRECT("G"&amp;ROW())="","5490.1","4991"))</f>
        <v>4991</v>
      </c>
      <c r="G33" s="17">
        <v>1.1</v>
      </c>
      <c r="H33" s="17"/>
      <c r="I33" s="17"/>
      <c r="J33" s="17" t="s">
        <v>5</v>
      </c>
      <c r="K33" s="17" t="s">
        <v>17</v>
      </c>
      <c r="L33" s="18">
        <f ca="1">IF(INDIRECT("J"&amp;ROW())="текущие цены",0/1000,5490.1/1000)</f>
        <v>5.4901</v>
      </c>
      <c r="M33" s="8"/>
      <c r="N33" s="8"/>
      <c r="O33" s="8"/>
      <c r="P33" s="8"/>
      <c r="Q33" s="8"/>
    </row>
    <row r="34" spans="1:17" ht="75">
      <c r="A34" s="14">
        <v>8</v>
      </c>
      <c r="B34" s="15" t="s">
        <v>18</v>
      </c>
      <c r="C34" s="15" t="s">
        <v>45</v>
      </c>
      <c r="D34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1692 </v>
      </c>
      <c r="E34" s="17">
        <v>1</v>
      </c>
      <c r="F34" s="17" t="str">
        <f ca="1">IF(INDIRECT("J"&amp;ROW())="текущие цены",IF(INDIRECT("G"&amp;ROW())="","0","0"),IF(INDIRECT("G"&amp;ROW())="","1692","1692"))</f>
        <v>1692</v>
      </c>
      <c r="G34" s="17"/>
      <c r="H34" s="17"/>
      <c r="I34" s="17"/>
      <c r="J34" s="17" t="s">
        <v>5</v>
      </c>
      <c r="K34" s="17"/>
      <c r="L34" s="18">
        <f ca="1">IF(INDIRECT("J"&amp;ROW())="текущие цены",0/1000,1692/1000)</f>
        <v>1.692</v>
      </c>
      <c r="M34" s="8"/>
      <c r="N34" s="8"/>
      <c r="O34" s="8"/>
      <c r="P34" s="8"/>
      <c r="Q34" s="8"/>
    </row>
    <row r="35" spans="1:17" ht="60">
      <c r="A35" s="14">
        <v>9</v>
      </c>
      <c r="B35" s="15" t="s">
        <v>19</v>
      </c>
      <c r="C35" s="15" t="s">
        <v>46</v>
      </c>
      <c r="D35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12076 </v>
      </c>
      <c r="E35" s="17">
        <v>0.3</v>
      </c>
      <c r="F35" s="17" t="str">
        <f ca="1">IF(INDIRECT("J"&amp;ROW())="текущие цены",IF(INDIRECT("G"&amp;ROW())="","0","0"),IF(INDIRECT("G"&amp;ROW())="","12076","12076"))</f>
        <v>12076</v>
      </c>
      <c r="G35" s="17"/>
      <c r="H35" s="17"/>
      <c r="I35" s="17"/>
      <c r="J35" s="17" t="s">
        <v>5</v>
      </c>
      <c r="K35" s="17"/>
      <c r="L35" s="18">
        <f ca="1">IF(INDIRECT("J"&amp;ROW())="текущие цены",0/1000,3622.8/1000)</f>
        <v>3.6228000000000002</v>
      </c>
      <c r="M35" s="8"/>
      <c r="N35" s="8"/>
      <c r="O35" s="8"/>
      <c r="P35" s="8"/>
      <c r="Q35" s="8"/>
    </row>
    <row r="36" spans="1:17" ht="60">
      <c r="A36" s="14">
        <v>10</v>
      </c>
      <c r="B36" s="15" t="s">
        <v>20</v>
      </c>
      <c r="C36" s="15" t="s">
        <v>47</v>
      </c>
      <c r="D36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5327 </v>
      </c>
      <c r="E36" s="17">
        <v>0.3</v>
      </c>
      <c r="F36" s="17" t="str">
        <f ca="1">IF(INDIRECT("J"&amp;ROW())="текущие цены",IF(INDIRECT("G"&amp;ROW())="","0","0"),IF(INDIRECT("G"&amp;ROW())="","5327","5327"))</f>
        <v>5327</v>
      </c>
      <c r="G36" s="17"/>
      <c r="H36" s="17"/>
      <c r="I36" s="17"/>
      <c r="J36" s="17" t="s">
        <v>5</v>
      </c>
      <c r="K36" s="17"/>
      <c r="L36" s="18">
        <f ca="1">IF(INDIRECT("J"&amp;ROW())="текущие цены",0/1000,1598.1/1000)</f>
        <v>1.5980999999999999</v>
      </c>
      <c r="M36" s="8"/>
      <c r="N36" s="8"/>
      <c r="O36" s="8"/>
      <c r="P36" s="8"/>
      <c r="Q36" s="8"/>
    </row>
    <row r="37" spans="1:17" ht="105">
      <c r="A37" s="19">
        <v>11</v>
      </c>
      <c r="B37" s="20" t="s">
        <v>21</v>
      </c>
      <c r="C37" s="20" t="s">
        <v>48</v>
      </c>
      <c r="D37" s="21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4 * 496.12 </v>
      </c>
      <c r="E37" s="22">
        <v>4</v>
      </c>
      <c r="F37" s="22" t="str">
        <f ca="1">IF(INDIRECT("J"&amp;ROW())="текущие цены",IF(INDIRECT("G"&amp;ROW())="","0","0"),IF(INDIRECT("G"&amp;ROW())="","496.12","496.12"))</f>
        <v>496.12</v>
      </c>
      <c r="G37" s="22"/>
      <c r="H37" s="22"/>
      <c r="I37" s="22"/>
      <c r="J37" s="22" t="s">
        <v>5</v>
      </c>
      <c r="K37" s="22"/>
      <c r="L37" s="23">
        <f ca="1">IF(INDIRECT("J"&amp;ROW())="текущие цены",0/1000,1984.48/1000)</f>
        <v>1.98448</v>
      </c>
      <c r="M37" s="8"/>
      <c r="N37" s="8"/>
      <c r="O37" s="8"/>
      <c r="P37" s="8"/>
      <c r="Q37" s="8"/>
    </row>
    <row r="38" spans="1:17" ht="15">
      <c r="A38" s="38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8">
        <f>14387.48/1000</f>
        <v>14.38748</v>
      </c>
      <c r="M38" s="8"/>
      <c r="N38" s="8"/>
      <c r="O38" s="8"/>
      <c r="P38" s="8"/>
      <c r="Q38" s="8"/>
    </row>
    <row r="39" spans="1:17" ht="22.5" customHeight="1">
      <c r="A39" s="37" t="s">
        <v>22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8"/>
      <c r="M39" s="8"/>
      <c r="N39" s="8"/>
      <c r="O39" s="8"/>
      <c r="P39" s="8"/>
      <c r="Q39" s="8"/>
    </row>
    <row r="40" spans="1:17" ht="15">
      <c r="A40" s="38" t="s">
        <v>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18">
        <f>14387.48/1000</f>
        <v>14.38748</v>
      </c>
      <c r="M40" s="8"/>
      <c r="N40" s="8"/>
      <c r="O40" s="8"/>
      <c r="P40" s="8"/>
      <c r="Q40" s="8"/>
    </row>
    <row r="41" spans="1:17" ht="15">
      <c r="A41" s="38" t="s">
        <v>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18">
        <f>14387.48/1000</f>
        <v>14.38748</v>
      </c>
      <c r="M41" s="8"/>
      <c r="N41" s="8"/>
      <c r="O41" s="8"/>
      <c r="P41" s="8"/>
      <c r="Q41" s="8"/>
    </row>
    <row r="42" spans="1:17" ht="15">
      <c r="A42" s="38" t="s">
        <v>37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18">
        <f>54528.55/1000</f>
        <v>54.52855</v>
      </c>
      <c r="M42" s="8"/>
      <c r="N42" s="8"/>
      <c r="O42" s="8"/>
      <c r="P42" s="8"/>
      <c r="Q42" s="8"/>
    </row>
    <row r="43" spans="1:17" ht="15" customHeight="1">
      <c r="A43" s="39" t="s">
        <v>24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3">
        <f>54528.55/1000</f>
        <v>54.52855</v>
      </c>
      <c r="M43" s="8"/>
      <c r="N43" s="8"/>
      <c r="O43" s="8"/>
      <c r="P43" s="8"/>
      <c r="Q43" s="8"/>
    </row>
    <row r="44" spans="1:17" ht="15">
      <c r="A44" s="33" t="s">
        <v>52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4">
        <f>1132070.48/1000</f>
        <v>1132.07048</v>
      </c>
      <c r="M44" s="8"/>
      <c r="N44" s="8"/>
      <c r="O44" s="8"/>
      <c r="P44" s="8"/>
      <c r="Q44" s="8"/>
    </row>
    <row r="45" spans="1:17" ht="15.75">
      <c r="A45" s="35" t="s">
        <v>25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4"/>
      <c r="M45" s="8"/>
      <c r="N45" s="8"/>
      <c r="O45" s="8"/>
      <c r="P45" s="8"/>
      <c r="Q45" s="8"/>
    </row>
    <row r="46" spans="1:17" ht="30.75" customHeight="1">
      <c r="A46" s="33" t="s">
        <v>49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4">
        <f>4168957.59/1000</f>
        <v>4168.95759</v>
      </c>
      <c r="M46" s="8"/>
      <c r="N46" s="8"/>
      <c r="O46" s="8"/>
      <c r="P46" s="8"/>
      <c r="Q46" s="8"/>
    </row>
    <row r="47" spans="1:17" ht="30.75" customHeight="1">
      <c r="A47" s="33" t="s">
        <v>50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4">
        <f>54528.55/1000</f>
        <v>54.52855</v>
      </c>
      <c r="M47" s="8"/>
      <c r="N47" s="8"/>
      <c r="O47" s="8"/>
      <c r="P47" s="8"/>
      <c r="Q47" s="8"/>
    </row>
    <row r="48" spans="1:17" ht="15">
      <c r="A48" s="33" t="s">
        <v>14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4">
        <f>4223486.14/1000</f>
        <v>4223.48614</v>
      </c>
      <c r="M48" s="8"/>
      <c r="N48" s="8"/>
      <c r="O48" s="8"/>
      <c r="P48" s="8"/>
      <c r="Q48" s="8"/>
    </row>
    <row r="49" spans="1:17" ht="31.5" customHeight="1">
      <c r="A49" s="33" t="s">
        <v>26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4">
        <f>760227.51/1000</f>
        <v>760.22751</v>
      </c>
      <c r="M49" s="8"/>
      <c r="N49" s="8"/>
      <c r="O49" s="8"/>
      <c r="P49" s="8"/>
      <c r="Q49" s="8"/>
    </row>
    <row r="50" spans="1:17" ht="15">
      <c r="A50" s="35" t="s">
        <v>27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4">
        <f>4983713.65/1000</f>
        <v>4983.713650000001</v>
      </c>
      <c r="M50" s="8"/>
      <c r="N50" s="8"/>
      <c r="O50" s="8"/>
      <c r="P50" s="8"/>
      <c r="Q50" s="8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/>
      <c r="N51" s="10"/>
      <c r="O51" s="10"/>
      <c r="P51" s="10"/>
      <c r="Q51" s="10"/>
    </row>
    <row r="52" spans="1:17" ht="15">
      <c r="A52" s="30" t="s">
        <v>58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8"/>
      <c r="O52" s="28"/>
      <c r="P52" s="28"/>
      <c r="Q52" s="28"/>
    </row>
    <row r="53" spans="1:17" ht="15">
      <c r="A53" s="32" t="s">
        <v>59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8"/>
      <c r="O53" s="28"/>
      <c r="P53" s="28"/>
      <c r="Q53" s="28"/>
    </row>
    <row r="54" spans="2:12" ht="15">
      <c r="B54" s="3"/>
      <c r="C54" s="11"/>
      <c r="D54" s="3"/>
      <c r="E54" s="3"/>
      <c r="F54" s="3"/>
      <c r="G54" s="3"/>
      <c r="H54" s="3"/>
      <c r="I54" s="3"/>
      <c r="J54" s="3"/>
      <c r="K54" s="3"/>
      <c r="L54" s="3"/>
    </row>
    <row r="56" spans="1:12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</sheetData>
  <sheetProtection/>
  <mergeCells count="32">
    <mergeCell ref="A2:D2"/>
    <mergeCell ref="A19:L19"/>
    <mergeCell ref="A26:K26"/>
    <mergeCell ref="C4:L4"/>
    <mergeCell ref="B14:L14"/>
    <mergeCell ref="A45:K45"/>
    <mergeCell ref="A32:L32"/>
    <mergeCell ref="A38:K38"/>
    <mergeCell ref="A39:K39"/>
    <mergeCell ref="A40:K40"/>
    <mergeCell ref="A42:K42"/>
    <mergeCell ref="D5:L5"/>
    <mergeCell ref="D6:L6"/>
    <mergeCell ref="A43:K43"/>
    <mergeCell ref="A56:L56"/>
    <mergeCell ref="A11:L11"/>
    <mergeCell ref="A12:L12"/>
    <mergeCell ref="A15:L15"/>
    <mergeCell ref="A46:K46"/>
    <mergeCell ref="A47:K47"/>
    <mergeCell ref="A27:K27"/>
    <mergeCell ref="A28:K28"/>
    <mergeCell ref="A29:K29"/>
    <mergeCell ref="A30:K30"/>
    <mergeCell ref="A31:K31"/>
    <mergeCell ref="A41:K41"/>
    <mergeCell ref="A52:M52"/>
    <mergeCell ref="A53:M53"/>
    <mergeCell ref="A48:K48"/>
    <mergeCell ref="A49:K49"/>
    <mergeCell ref="A50:K50"/>
    <mergeCell ref="A44:K44"/>
  </mergeCells>
  <printOptions horizontalCentered="1"/>
  <pageMargins left="0.7874015748031497" right="0.3937007874015748" top="0.3937007874015748" bottom="0.3937007874015748" header="0.2362204724409449" footer="0.2362204724409449"/>
  <pageSetup fitToHeight="30000" horizontalDpi="600" verticalDpi="600" orientation="portrait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e.plahova</cp:lastModifiedBy>
  <cp:lastPrinted>2015-10-02T10:30:14Z</cp:lastPrinted>
  <dcterms:created xsi:type="dcterms:W3CDTF">2007-02-21T08:42:24Z</dcterms:created>
  <dcterms:modified xsi:type="dcterms:W3CDTF">2015-10-06T10:58:53Z</dcterms:modified>
  <cp:category/>
  <cp:version/>
  <cp:contentType/>
  <cp:contentStatus/>
</cp:coreProperties>
</file>