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5940" windowWidth="15480" windowHeight="5775" activeTab="0"/>
  </bookViews>
  <sheets>
    <sheet name="Мои данные" sheetId="1" r:id="rId1"/>
  </sheets>
  <definedNames>
    <definedName name="_xlnm.Print_Titles" localSheetId="0">'Мои данные'!$16:$16</definedName>
    <definedName name="_xlnm.Print_Area" localSheetId="0">'Мои данные'!$A$1:$L$74</definedName>
  </definedNames>
  <calcPr fullCalcOnLoad="1"/>
</workbook>
</file>

<file path=xl/comments1.xml><?xml version="1.0" encoding="utf-8"?>
<comments xmlns="http://schemas.openxmlformats.org/spreadsheetml/2006/main">
  <authors>
    <author>Alex</author>
    <author>Сергей</author>
    <author>Alex Sosedko</author>
  </authors>
  <commentList>
    <comment ref="C73" authorId="0">
      <text>
        <r>
          <rPr>
            <b/>
            <sz val="8"/>
            <rFont val="Tahoma"/>
            <family val="2"/>
          </rPr>
          <t xml:space="preserve"> &lt;Составил&gt;</t>
        </r>
      </text>
    </comment>
    <comment ref="A16" authorId="1">
      <text>
        <r>
          <rPr>
            <sz val="8"/>
            <rFont val="Tahoma"/>
            <family val="2"/>
          </rPr>
          <t xml:space="preserve"> &lt;Номер позиции по смете&gt;</t>
        </r>
      </text>
    </comment>
    <comment ref="B16" authorId="1">
      <text>
        <r>
          <rPr>
            <sz val="8"/>
            <rFont val="Tahoma"/>
            <family val="2"/>
          </rPr>
          <t xml:space="preserve"> &lt;Наименование (текстовая часть) расценки&gt;</t>
        </r>
      </text>
    </comment>
    <comment ref="C16" authorId="2">
      <text>
        <r>
          <rPr>
            <sz val="8"/>
            <rFont val="Tahoma"/>
            <family val="2"/>
          </rPr>
          <t xml:space="preserve"> &lt;Обоснование (код) позиции&gt;
&lt;Комментарии из базы данных к расценке&gt;
Примечание: &lt;Примечание&gt;</t>
        </r>
      </text>
    </comment>
    <comment ref="C68" authorId="1">
      <text>
        <r>
          <rPr>
            <sz val="8"/>
            <rFont val="Tahoma"/>
            <family val="2"/>
          </rPr>
          <t xml:space="preserve"> &lt;Проверил&gt;</t>
        </r>
      </text>
    </comment>
    <comment ref="A59" authorId="1">
      <text>
        <r>
          <rPr>
            <sz val="8"/>
            <rFont val="Tahoma"/>
            <family val="2"/>
          </rPr>
          <t xml:space="preserve"> &lt;Текстовая часть (итоги)&gt;</t>
        </r>
      </text>
    </comment>
    <comment ref="L59" authorId="1">
      <text>
        <r>
          <rPr>
            <sz val="8"/>
            <rFont val="Tahoma"/>
            <family val="2"/>
          </rPr>
          <t xml:space="preserve"> =&lt;Прямые затраты (итоги)&gt;/1000</t>
        </r>
      </text>
    </comment>
    <comment ref="E16" authorId="1">
      <text>
        <r>
          <rPr>
            <sz val="8"/>
            <rFont val="Tahoma"/>
            <family val="2"/>
          </rPr>
          <t xml:space="preserve"> &lt;Количество всего (физ. объем) по позиции&gt;</t>
        </r>
      </text>
    </comment>
    <comment ref="F16" authorId="1">
      <text>
        <r>
          <rPr>
            <sz val="8"/>
            <rFont val="Tahoma"/>
            <family val="2"/>
          </rPr>
          <t xml:space="preserve"> =IF(INDIRECT("J" &amp; ROW())="текущие цены", IF(INDIRECT("G" &amp; ROW())="", "&lt;ПЗ по позиции на единицу в текущих ценах с учетом всех к-тов&gt;", "&lt;ПЗ по позиции на единицу в текущих ценах&gt;"), IF(INDIRECT("G" &amp; ROW())="", "&lt;ПЗ по позиции на единицу в базисных ценах с учетом всех к-тов&gt;","&lt;ПЗ по позиции на единицу в базисных ценах&gt;")) </t>
        </r>
      </text>
    </comment>
    <comment ref="G16" authorId="1">
      <text>
        <r>
          <rPr>
            <sz val="8"/>
            <rFont val="Tahoma"/>
            <family val="2"/>
          </rPr>
          <t xml:space="preserve"> &lt;К-т к позиции на прямые затраты&gt;</t>
        </r>
      </text>
    </comment>
    <comment ref="H16" authorId="1">
      <text>
        <r>
          <rPr>
            <sz val="8"/>
            <rFont val="Tahoma"/>
            <family val="2"/>
          </rPr>
          <t xml:space="preserve"> &lt;Формула расчета физ. объема&gt;</t>
        </r>
      </text>
    </comment>
    <comment ref="L16" authorId="0">
      <text>
        <r>
          <rPr>
            <b/>
            <sz val="8"/>
            <rFont val="Tahoma"/>
            <family val="2"/>
          </rPr>
          <t xml:space="preserve"> =IF(INDIRECT("J" &amp; ROW())="текущие цены", &lt;ИТОГО ПЗ по позиции в текущих ценах&gt;/1000, &lt;ИТОГО ПЗ по позиции для БИМ&gt;/1000) 
</t>
        </r>
      </text>
    </comment>
    <comment ref="I16" authorId="1">
      <text>
        <r>
          <rPr>
            <sz val="8"/>
            <rFont val="Tahoma"/>
            <family val="2"/>
          </rPr>
          <t xml:space="preserve"> &lt;Формула расчета стоимости единицы&gt;</t>
        </r>
      </text>
    </comment>
    <comment ref="D16" authorId="1">
      <text>
        <r>
          <rPr>
            <sz val="8"/>
            <rFont val="Tahoma"/>
            <family val="2"/>
          </rPr>
          <t xml:space="preserve"> =IF(INDIRECT("H"&amp;ROW())="",INDIRECT("E"&amp;ROW()),"(" &amp; INDIRECT("H"&amp;ROW())&amp;")")&amp;IF(INDIRECT("F"&amp;ROW())="0", " * 0", IF(INDIRECT("F"&amp;ROW())="", IF(INDIRECT("I"&amp;ROW())=""," "," * "&amp;INDIRECT("I"&amp;ROW())), " * "&amp;INDIRECT("F"&amp;ROW())))&amp;IF(INDIRECT("G"&amp;ROW())="", " ", " * "&amp;INDIRECT("G"&amp;ROW()))&lt;Пустой идентификатор&gt;</t>
        </r>
      </text>
    </comment>
    <comment ref="J16" authorId="2">
      <text>
        <r>
          <rPr>
            <b/>
            <sz val="8"/>
            <rFont val="Tahoma"/>
            <family val="2"/>
          </rPr>
          <t xml:space="preserve"> &lt;Уровень цен позиции&gt;</t>
        </r>
      </text>
    </comment>
    <comment ref="A75" authorId="0">
      <text>
        <r>
          <rPr>
            <b/>
            <sz val="8"/>
            <rFont val="Tahoma"/>
            <family val="2"/>
          </rPr>
          <t xml:space="preserve"> &lt;Комментарии к смете&gt;</t>
        </r>
      </text>
    </comment>
    <comment ref="K16" authorId="2">
      <text>
        <r>
          <rPr>
            <sz val="8"/>
            <rFont val="Tahoma"/>
            <family val="2"/>
          </rPr>
          <t xml:space="preserve"> &lt;Обоснование коэффициентов&gt;</t>
        </r>
      </text>
    </comment>
    <comment ref="A10" authorId="1">
      <text>
        <r>
          <rPr>
            <sz val="8"/>
            <rFont val="Tahoma"/>
            <family val="2"/>
          </rPr>
          <t xml:space="preserve"> &lt;Индекс/ЛН расчета&gt;</t>
        </r>
      </text>
    </comment>
  </commentList>
</comments>
</file>

<file path=xl/sharedStrings.xml><?xml version="1.0" encoding="utf-8"?>
<sst xmlns="http://schemas.openxmlformats.org/spreadsheetml/2006/main" count="123" uniqueCount="89">
  <si>
    <t>№ пп</t>
  </si>
  <si>
    <t>Характеристика предприятия,
здания, сооружения или вид работ</t>
  </si>
  <si>
    <t>Номер частей, глав, таблиц,
параграфов и пунктов указаний к
разделу справочника базовых цен
на проектные и изыскательские
работы для строителей</t>
  </si>
  <si>
    <t>Расчет стоимости: (a+bx)*Kj или
(стоимость
строительно-монтажных
работ)*проц./ 100 или количество * цена</t>
  </si>
  <si>
    <t>Стоимость работ</t>
  </si>
  <si>
    <t>тыс.руб</t>
  </si>
  <si>
    <t>Водозаборы из подземных источников (скважин) производительностью: св. 140 до 420 м3/ч</t>
  </si>
  <si>
    <t>цены 2001</t>
  </si>
  <si>
    <t>(Получение  Заключения  Государственной
экологической  экспертизы ПЗ=1,012 (ОЗП=1,012; ЭМ=1,012 к расх.; ЗПМ=1,012; МАТ=1,012 к расх.; ТЗ=1,012; ТЗМ=1,012))</t>
  </si>
  <si>
    <t>Сооружения очистки воды для хозяйственно-питьевых целей производительностью: св. 100 до 1000 м3/сут</t>
  </si>
  <si>
    <t>Насосная станция II-го подъема, подкачки или систем оборотного водоснабжения производительностью: св. 0,1 до 1 тыс.м3/ч</t>
  </si>
  <si>
    <t>Резервуары для воды емкостью: до 1 тыс.м3</t>
  </si>
  <si>
    <t>Водовод при подземной (наземной) прокладке и расходе от 300 до 1000 м3/ч длиной: до 10 км</t>
  </si>
  <si>
    <t>Канализационные коллекторы с сооружениями на них, пропускной способностью до 500 м3/ч, прокладываемые по незастроенной территории: рельеф местности II группы сложности</t>
  </si>
  <si>
    <t>Итоги по разделу 1 Водоочистные сооружения :</t>
  </si>
  <si>
    <t xml:space="preserve">  Проектные работы: Объекты ВиК (2004,2008)</t>
  </si>
  <si>
    <t xml:space="preserve">  Итого</t>
  </si>
  <si>
    <t xml:space="preserve">  Итого по разделу 1 Водоочистные сооружения</t>
  </si>
  <si>
    <t>Создание инженерно-топографического плана на застроенной территории, масштаб съемки 1:500, высота сечения рельефа 0,25 м: 3 категории сложности - полевые работы</t>
  </si>
  <si>
    <t>(УБЦ2 табл.4 п.3.Расходы по внутреннему транспорту при расстоянии от базы до участка изысканий 10-15 км, при сметной ст-ти полевых изыск. работ 300-750 тыс. руб. ПЗ=10%)</t>
  </si>
  <si>
    <t>Создание инженерно-топографического плана на застроенной территории, масштаб съемки 1:500, высота сечения рельефа 0,25 м: 3 категории сложности - камеральные работы</t>
  </si>
  <si>
    <t>Инженерно-геодезические изыскания трасс магистральных трубопроводов: 2 категории сложности - полевые работы</t>
  </si>
  <si>
    <t>Инженерно-геодезические изыскания трасс магистральных трубопроводов: 2 категории сложности - камеральные работы</t>
  </si>
  <si>
    <t>Работы по регистрации (оформлению разрешений) инженерных изысканий для строительства и приемке материалов выполненных топографо-геодезических работ. Сметная стоимость изысканий в ценах на 01.01.01 г. до 25 тыс.руб. - цена = 4%</t>
  </si>
  <si>
    <t>Итоги по разделу 2 Инженерно-геодезические изыскания :</t>
  </si>
  <si>
    <t xml:space="preserve">  Инженерно-геодезические изыскания (2004)</t>
  </si>
  <si>
    <t xml:space="preserve">  Итого по разделу 2 Инженерно-геодезические изыскания</t>
  </si>
  <si>
    <t xml:space="preserve">                                   Полевые работы</t>
  </si>
  <si>
    <t>Колонковое бурение скважины диаметром до 160мм, глубиной до 15м: категория породы 1</t>
  </si>
  <si>
    <t>(прим.при бурении скважин самоходными и передвижными установками без устройства циркуляционной системы: для скважин глубиной до 15 и до 25м ПЗ=0,9)</t>
  </si>
  <si>
    <t>Отбор монолитов из буровых скважин (связные грунты) с глубины до 10м</t>
  </si>
  <si>
    <t xml:space="preserve">                                   Лабораторные работы</t>
  </si>
  <si>
    <t>Полный комплекс физико-механических свойств глинистого грунта с определением сопротивления грунта срезу (неконсолидированный срез) и компенсированными испытаниями с нагрузкой до 0,6МПа</t>
  </si>
  <si>
    <t>Гранулометрический анализ песчаных грунтов ситовым методом с разделением на фракции от 10 до 0.1мм без кипячения и промывки, (навеска свыше 1кг)</t>
  </si>
  <si>
    <t>Сокращенный анализ воды</t>
  </si>
  <si>
    <t xml:space="preserve">                                   Камеральные работы</t>
  </si>
  <si>
    <t>Камеральная обработка материалов буровых и горнопроходческих работ: категория сложности инженерно-геологических условий 2</t>
  </si>
  <si>
    <t>Камеральная обработка комплексных исследований и отдельных определений физико-механических свойств грунтов (пород), цена, %, от стоимости лабораторных работ: глинистых - 20% (2009,4*20%=95)</t>
  </si>
  <si>
    <t>Итоги по разделу 3 Инженерно-геологические  и инженерно-экологические изыскания :</t>
  </si>
  <si>
    <t xml:space="preserve">  Инженерно-геологические и инженерно-экологические изыскания (1999)</t>
  </si>
  <si>
    <t xml:space="preserve">  Итого по разделу 3 Инженерно-геологические  и инженерно-экологические изыскания</t>
  </si>
  <si>
    <t>Итоги по смете:</t>
  </si>
  <si>
    <t xml:space="preserve">  НДС 18%</t>
  </si>
  <si>
    <t xml:space="preserve">  ВСЕГО по смете</t>
  </si>
  <si>
    <t xml:space="preserve">                            Водоочистные сооружения</t>
  </si>
  <si>
    <t>(170040*1+740*180)*1,012</t>
  </si>
  <si>
    <t>(233980*1+149*180)*1,012</t>
  </si>
  <si>
    <t>(169420*1+333520*0,18)*1,012</t>
  </si>
  <si>
    <t>(20720*2+75360*1)*1,012</t>
  </si>
  <si>
    <t>(61260*1+32800*0,05)*1,012</t>
  </si>
  <si>
    <t>(95380*1+15930*0,05)*1,012</t>
  </si>
  <si>
    <t xml:space="preserve">  Всего с учетом Перевод в текущие цены на 1 июля  2015г. (Инф.сб.УЦИС КО выпуск № 32 (136)) 3,73</t>
  </si>
  <si>
    <t xml:space="preserve">                            Инженерно-геодезические изыскания</t>
  </si>
  <si>
    <t xml:space="preserve">  Всего с учетом Перевод в текущие цены на 1 июля  2015г. (Инф.сб.УЦИС КО выпуск № 32 (136)) 3,79</t>
  </si>
  <si>
    <t xml:space="preserve">                            Инженерно-геологические  и инженерно-экологические изыскания</t>
  </si>
  <si>
    <t xml:space="preserve">  Всего с учетом Перевод в текущие цены на 1 июля  2015г. (Инф.сб.УЦИС КО выпуск № 32 (136)) 42,91</t>
  </si>
  <si>
    <r>
      <t xml:space="preserve">СБЦ11-2-03
</t>
    </r>
    <r>
      <rPr>
        <i/>
        <sz val="11"/>
        <rFont val="Arial"/>
        <family val="2"/>
      </rPr>
      <t xml:space="preserve"> Объекты водоснабжения и канализации (2008г.)</t>
    </r>
  </si>
  <si>
    <r>
      <t xml:space="preserve">СБЦ11-21-02
</t>
    </r>
    <r>
      <rPr>
        <i/>
        <sz val="11"/>
        <rFont val="Arial"/>
        <family val="2"/>
      </rPr>
      <t xml:space="preserve"> Объекты водоснабжения и канализации (2008г.)</t>
    </r>
  </si>
  <si>
    <r>
      <t xml:space="preserve">СБЦ11-5-03
</t>
    </r>
    <r>
      <rPr>
        <i/>
        <sz val="11"/>
        <rFont val="Arial"/>
        <family val="2"/>
      </rPr>
      <t xml:space="preserve"> Объекты водоснабжения и канализации (2008г.)</t>
    </r>
  </si>
  <si>
    <r>
      <t xml:space="preserve">СБЦ11-5-10
</t>
    </r>
    <r>
      <rPr>
        <i/>
        <sz val="11"/>
        <rFont val="Arial"/>
        <family val="2"/>
      </rPr>
      <t xml:space="preserve"> Объекты водоснабжения и канализации (2008г.)</t>
    </r>
  </si>
  <si>
    <r>
      <t xml:space="preserve">СБЦ11-3-01
</t>
    </r>
    <r>
      <rPr>
        <i/>
        <sz val="11"/>
        <rFont val="Arial"/>
        <family val="2"/>
      </rPr>
      <t xml:space="preserve"> Объекты водоснабжения и канализации (2008г.)</t>
    </r>
  </si>
  <si>
    <r>
      <t xml:space="preserve">СБЦ11-8-02
</t>
    </r>
    <r>
      <rPr>
        <i/>
        <sz val="11"/>
        <rFont val="Arial"/>
        <family val="2"/>
      </rPr>
      <t xml:space="preserve"> Объекты водоснабжения и канализации (2008г.)</t>
    </r>
  </si>
  <si>
    <r>
      <t xml:space="preserve">УБЦ2-9-3-2-1
</t>
    </r>
    <r>
      <rPr>
        <i/>
        <sz val="11"/>
        <rFont val="Arial"/>
        <family val="2"/>
      </rPr>
      <t>"Инж.-геодез. изыск.(2004 г.)"
(УБЦ2 табл.4 п.3.Расходы по внутреннему транспорту при расстоянии от базы до участка изысканий 10-15 км, при сметной ст-ти полевых изыск. работ 300-750 тыс. руб. ПЗ=10%)</t>
    </r>
  </si>
  <si>
    <r>
      <t xml:space="preserve">УБЦ2-9-3-2-2
</t>
    </r>
    <r>
      <rPr>
        <i/>
        <sz val="11"/>
        <rFont val="Arial"/>
        <family val="2"/>
      </rPr>
      <t>"Инж.-геодез. изыск.(2004 г.)"</t>
    </r>
  </si>
  <si>
    <r>
      <t xml:space="preserve">УБЦ2-13-1-2-1
</t>
    </r>
    <r>
      <rPr>
        <i/>
        <sz val="11"/>
        <rFont val="Arial"/>
        <family val="2"/>
      </rPr>
      <t>"Инж.-геодез. изыск.(2004 г.)"</t>
    </r>
  </si>
  <si>
    <r>
      <t xml:space="preserve">УБЦ2-13-1-2-2
</t>
    </r>
    <r>
      <rPr>
        <i/>
        <sz val="11"/>
        <rFont val="Arial"/>
        <family val="2"/>
      </rPr>
      <t>"Инж.-геодез. изыск.(2004 г.)"</t>
    </r>
  </si>
  <si>
    <r>
      <t xml:space="preserve">УБЦ2-80-1
</t>
    </r>
    <r>
      <rPr>
        <i/>
        <sz val="11"/>
        <rFont val="Arial"/>
        <family val="2"/>
      </rPr>
      <t>"Инж.-геодез. изыск.(2004 г.)"</t>
    </r>
  </si>
  <si>
    <r>
      <t xml:space="preserve">СБЦИ3-17-1-1
</t>
    </r>
    <r>
      <rPr>
        <i/>
        <sz val="11"/>
        <rFont val="Arial"/>
        <family val="2"/>
      </rPr>
      <t>"Инж.-геологические и инж.-экологич. изыскания (1999 г.)"
(прим.при бурении скважин самоходными и передвижными установками без устройства циркуляционной системы: для скважин глубиной до 15 и до 25м ПЗ=0,9)</t>
    </r>
  </si>
  <si>
    <r>
      <t xml:space="preserve">СБЦИ3-57-1-1
</t>
    </r>
    <r>
      <rPr>
        <i/>
        <sz val="11"/>
        <rFont val="Arial"/>
        <family val="2"/>
      </rPr>
      <t>"Инж.-геологические и инж.-экологич. изыскания (1999 г.)"</t>
    </r>
  </si>
  <si>
    <r>
      <t xml:space="preserve">СБЦИ3-63-27
</t>
    </r>
    <r>
      <rPr>
        <i/>
        <sz val="11"/>
        <rFont val="Arial"/>
        <family val="2"/>
      </rPr>
      <t>"Инж.-геологические и инж.-экологич. изыскания (1999 г.)"</t>
    </r>
  </si>
  <si>
    <r>
      <t xml:space="preserve">СБЦИ3-64-11
</t>
    </r>
    <r>
      <rPr>
        <i/>
        <sz val="11"/>
        <rFont val="Arial"/>
        <family val="2"/>
      </rPr>
      <t>"Инж.-геологические и инж.-экологич. изыскания (1999 г.)"</t>
    </r>
  </si>
  <si>
    <r>
      <t xml:space="preserve">СБЦИ3-73-3
</t>
    </r>
    <r>
      <rPr>
        <i/>
        <sz val="11"/>
        <rFont val="Arial"/>
        <family val="2"/>
      </rPr>
      <t>"Инж.-геологические и инж.-экологич. изыскания (1999 г.)"</t>
    </r>
  </si>
  <si>
    <r>
      <t xml:space="preserve">СБЦИ3-82-1-2
</t>
    </r>
    <r>
      <rPr>
        <i/>
        <sz val="11"/>
        <rFont val="Arial"/>
        <family val="2"/>
      </rPr>
      <t>"Инж.-геологические и инж.-экологич. изыскания (1999 г.)"</t>
    </r>
  </si>
  <si>
    <r>
      <t xml:space="preserve">СБЦИ3-86-1
</t>
    </r>
    <r>
      <rPr>
        <i/>
        <sz val="11"/>
        <rFont val="Arial"/>
        <family val="2"/>
      </rPr>
      <t>"Инж.-геологические и инж.-экологич. изыскания (1999 г.)"</t>
    </r>
  </si>
  <si>
    <t xml:space="preserve">  Итого Перевод в текущие цены на 1 июля  2015г. (Инф.сб.УЦИС КО выпуск № 32 (136)) 3,73</t>
  </si>
  <si>
    <t xml:space="preserve">  Итого Перевод в текущие цены на 1 июля  2015г. (Инф.сб.УЦИС КО выпуск № 32 (136)) 3,79</t>
  </si>
  <si>
    <t xml:space="preserve">  Итого Перевод в текущие цены на 1 июля  2015г. (Инф.сб.УЦИС КО выпуск № 32 (136)) 42,91</t>
  </si>
  <si>
    <t>Итого затраты по разделу</t>
  </si>
  <si>
    <t>Итого затраты по смете</t>
  </si>
  <si>
    <t>УТВЕРЖДАЮ:</t>
  </si>
  <si>
    <t>Руководитель управления капитального ремонта и строительства</t>
  </si>
  <si>
    <t>ГП "Калугаоблводоканал"</t>
  </si>
  <si>
    <t>_______________Сергеев М.А.</t>
  </si>
  <si>
    <t>Составил: ___________________________Е.А. Миронова</t>
  </si>
  <si>
    <t>(должность, подпись, расшифровка)</t>
  </si>
  <si>
    <t>Приложение № 1  к закупочной документации</t>
  </si>
  <si>
    <t>Сметный расчет на проектно-изыскательские работы</t>
  </si>
  <si>
    <t>"Строительство станции очистки питьевой воды с комплексом сооружений насосной станции II</t>
  </si>
  <si>
    <t>подъема в г.Козельске Калужской области"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</si>
</sst>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54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Arial Cyr"/>
      <family val="0"/>
    </font>
    <font>
      <sz val="10"/>
      <name val="Times New Roman"/>
      <family val="1"/>
    </font>
    <font>
      <sz val="12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sz val="10"/>
      <name val="Arial Cyr"/>
      <family val="0"/>
    </font>
    <font>
      <b/>
      <sz val="13"/>
      <name val="Arial"/>
      <family val="2"/>
    </font>
    <font>
      <b/>
      <sz val="13"/>
      <name val="Arial Cyr"/>
      <family val="0"/>
    </font>
    <font>
      <i/>
      <sz val="10"/>
      <name val="Arial Cyr"/>
      <family val="0"/>
    </font>
    <font>
      <i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</borders>
  <cellStyleXfs count="12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5" fillId="0" borderId="1">
      <alignment horizontal="center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2" applyNumberFormat="0" applyAlignment="0" applyProtection="0"/>
    <xf numFmtId="0" fontId="5" fillId="0" borderId="1">
      <alignment horizontal="center"/>
      <protection/>
    </xf>
    <xf numFmtId="0" fontId="5" fillId="0" borderId="0">
      <alignment vertical="top"/>
      <protection/>
    </xf>
    <xf numFmtId="0" fontId="39" fillId="27" borderId="3" applyNumberFormat="0" applyAlignment="0" applyProtection="0"/>
    <xf numFmtId="0" fontId="40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5" fillId="0" borderId="0">
      <alignment horizontal="right" vertical="top" wrapText="1"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8" borderId="8" applyNumberFormat="0" applyAlignment="0" applyProtection="0"/>
    <xf numFmtId="0" fontId="5" fillId="0" borderId="1">
      <alignment horizontal="center" wrapText="1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1">
      <alignment horizontal="center" wrapText="1"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" fillId="0" borderId="1">
      <alignment horizontal="center"/>
      <protection/>
    </xf>
    <xf numFmtId="0" fontId="5" fillId="0" borderId="1">
      <alignment horizont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5" fillId="0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>
      <alignment horizontal="left" vertical="top"/>
      <protection/>
    </xf>
    <xf numFmtId="0" fontId="52" fillId="32" borderId="0" applyNumberFormat="0" applyBorder="0" applyAlignment="0" applyProtection="0"/>
    <xf numFmtId="0" fontId="5" fillId="0" borderId="0">
      <alignment/>
      <protection/>
    </xf>
  </cellStyleXfs>
  <cellXfs count="53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123" applyFont="1" applyBorder="1">
      <alignment horizontal="center"/>
      <protection/>
    </xf>
    <xf numFmtId="0" fontId="7" fillId="0" borderId="0" xfId="123" applyFont="1" applyBorder="1" applyAlignment="1">
      <alignment horizontal="right"/>
      <protection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7" fillId="0" borderId="0" xfId="126" applyFont="1">
      <alignment horizontal="left" vertical="top"/>
      <protection/>
    </xf>
    <xf numFmtId="0" fontId="7" fillId="0" borderId="0" xfId="123" applyFont="1" applyBorder="1" applyAlignment="1">
      <alignment horizontal="left" vertical="top" wrapText="1"/>
      <protection/>
    </xf>
    <xf numFmtId="0" fontId="7" fillId="0" borderId="11" xfId="86" applyFont="1" applyBorder="1">
      <alignment horizontal="center" wrapText="1"/>
      <protection/>
    </xf>
    <xf numFmtId="49" fontId="7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10" fontId="7" fillId="0" borderId="1" xfId="0" applyNumberFormat="1" applyFont="1" applyBorder="1" applyAlignment="1">
      <alignment horizontal="center" vertical="top" wrapText="1"/>
    </xf>
    <xf numFmtId="0" fontId="7" fillId="0" borderId="1" xfId="0" applyNumberFormat="1" applyFont="1" applyBorder="1" applyAlignment="1">
      <alignment horizontal="center" vertical="top" wrapText="1"/>
    </xf>
    <xf numFmtId="164" fontId="7" fillId="0" borderId="1" xfId="0" applyNumberFormat="1" applyFont="1" applyBorder="1" applyAlignment="1">
      <alignment horizontal="right" vertical="top" wrapText="1"/>
    </xf>
    <xf numFmtId="49" fontId="7" fillId="0" borderId="11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horizontal="left" vertical="top" wrapText="1"/>
    </xf>
    <xf numFmtId="10" fontId="7" fillId="0" borderId="11" xfId="0" applyNumberFormat="1" applyFont="1" applyBorder="1" applyAlignment="1">
      <alignment horizontal="center" vertical="top" wrapText="1"/>
    </xf>
    <xf numFmtId="0" fontId="7" fillId="0" borderId="11" xfId="0" applyNumberFormat="1" applyFont="1" applyBorder="1" applyAlignment="1">
      <alignment horizontal="center" vertical="top" wrapText="1"/>
    </xf>
    <xf numFmtId="164" fontId="7" fillId="0" borderId="11" xfId="0" applyNumberFormat="1" applyFont="1" applyBorder="1" applyAlignment="1">
      <alignment horizontal="right" vertical="top" wrapText="1"/>
    </xf>
    <xf numFmtId="164" fontId="7" fillId="0" borderId="1" xfId="58" applyNumberFormat="1" applyFont="1" applyBorder="1" applyAlignment="1">
      <alignment horizontal="right" vertical="top" wrapText="1"/>
      <protection/>
    </xf>
    <xf numFmtId="0" fontId="0" fillId="0" borderId="0" xfId="0" applyAlignment="1">
      <alignment/>
    </xf>
    <xf numFmtId="0" fontId="16" fillId="0" borderId="0" xfId="0" applyFont="1" applyAlignment="1">
      <alignment horizontal="right" vertical="top"/>
    </xf>
    <xf numFmtId="0" fontId="6" fillId="0" borderId="0" xfId="0" applyFont="1" applyAlignment="1">
      <alignment/>
    </xf>
    <xf numFmtId="0" fontId="18" fillId="0" borderId="0" xfId="0" applyFont="1" applyAlignment="1">
      <alignment horizontal="right" vertical="top"/>
    </xf>
    <xf numFmtId="0" fontId="7" fillId="0" borderId="0" xfId="123" applyFont="1" applyBorder="1" applyAlignment="1">
      <alignment wrapText="1"/>
      <protection/>
    </xf>
    <xf numFmtId="0" fontId="7" fillId="0" borderId="0" xfId="0" applyFont="1" applyAlignment="1">
      <alignment horizontal="right" vertical="top"/>
    </xf>
    <xf numFmtId="0" fontId="0" fillId="0" borderId="0" xfId="0" applyAlignment="1">
      <alignment horizontal="right"/>
    </xf>
    <xf numFmtId="0" fontId="7" fillId="0" borderId="0" xfId="123" applyFont="1" applyBorder="1" applyAlignment="1">
      <alignment horizontal="right" vertical="top" wrapText="1"/>
      <protection/>
    </xf>
    <xf numFmtId="0" fontId="10" fillId="0" borderId="0" xfId="123" applyFont="1" applyBorder="1" applyAlignment="1">
      <alignment horizontal="left" vertical="top" wrapText="1"/>
      <protection/>
    </xf>
    <xf numFmtId="0" fontId="9" fillId="0" borderId="0" xfId="123" applyFont="1">
      <alignment horizontal="center"/>
      <protection/>
    </xf>
    <xf numFmtId="49" fontId="12" fillId="0" borderId="1" xfId="0" applyNumberFormat="1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17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19" fillId="0" borderId="0" xfId="0" applyFont="1" applyAlignment="1">
      <alignment horizontal="center" vertical="top" wrapText="1"/>
    </xf>
    <xf numFmtId="49" fontId="8" fillId="0" borderId="11" xfId="0" applyNumberFormat="1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49" fontId="10" fillId="0" borderId="1" xfId="0" applyNumberFormat="1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7" fillId="0" borderId="1" xfId="58" applyFont="1" applyBorder="1" applyAlignment="1">
      <alignment horizontal="left" vertical="top" wrapText="1"/>
      <protection/>
    </xf>
    <xf numFmtId="0" fontId="8" fillId="0" borderId="1" xfId="58" applyFont="1" applyBorder="1" applyAlignment="1">
      <alignment horizontal="left" vertical="top" wrapText="1"/>
      <protection/>
    </xf>
    <xf numFmtId="0" fontId="11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right" vertical="top" wrapText="1"/>
    </xf>
    <xf numFmtId="0" fontId="7" fillId="0" borderId="0" xfId="0" applyFont="1" applyAlignment="1">
      <alignment horizontal="center"/>
    </xf>
    <xf numFmtId="49" fontId="8" fillId="0" borderId="1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right" vertical="top"/>
    </xf>
    <xf numFmtId="0" fontId="7" fillId="0" borderId="0" xfId="0" applyFont="1" applyAlignment="1">
      <alignment horizontal="right"/>
    </xf>
  </cellXfs>
  <cellStyles count="11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т" xfId="33"/>
    <cellStyle name="АктМТСН" xfId="34"/>
    <cellStyle name="АктМТСН 2" xfId="35"/>
    <cellStyle name="АктМТСН 3" xfId="36"/>
    <cellStyle name="АктМТСН 4" xfId="37"/>
    <cellStyle name="АктМТСН 5" xfId="38"/>
    <cellStyle name="АктМТСН 6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едРесурсов" xfId="47"/>
    <cellStyle name="ВедРесурсовАкт" xfId="48"/>
    <cellStyle name="Вывод" xfId="49"/>
    <cellStyle name="Вычисление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Итоги" xfId="58"/>
    <cellStyle name="ИтогоАктБазЦ" xfId="59"/>
    <cellStyle name="ИтогоАктБИМ" xfId="60"/>
    <cellStyle name="ИтогоАктБИМ 2" xfId="61"/>
    <cellStyle name="ИтогоАктБИМ 3" xfId="62"/>
    <cellStyle name="ИтогоАктБИМ 4" xfId="63"/>
    <cellStyle name="ИтогоАктБИМ 5" xfId="64"/>
    <cellStyle name="ИтогоАктБИМ 6" xfId="65"/>
    <cellStyle name="ИтогоАктРесМет" xfId="66"/>
    <cellStyle name="ИтогоАктРесМет 2" xfId="67"/>
    <cellStyle name="ИтогоАктРесМет 3" xfId="68"/>
    <cellStyle name="ИтогоАктРесМет 4" xfId="69"/>
    <cellStyle name="ИтогоАктРесМет 5" xfId="70"/>
    <cellStyle name="ИтогоАктРесМет 6" xfId="71"/>
    <cellStyle name="ИтогоБазЦ" xfId="72"/>
    <cellStyle name="ИтогоБИМ" xfId="73"/>
    <cellStyle name="ИтогоБИМ 2" xfId="74"/>
    <cellStyle name="ИтогоБИМ 3" xfId="75"/>
    <cellStyle name="ИтогоБИМ 4" xfId="76"/>
    <cellStyle name="ИтогоБИМ 5" xfId="77"/>
    <cellStyle name="ИтогоБИМ 6" xfId="78"/>
    <cellStyle name="ИтогоРесМет" xfId="79"/>
    <cellStyle name="ИтогоРесМет 2" xfId="80"/>
    <cellStyle name="ИтогоРесМет 3" xfId="81"/>
    <cellStyle name="ИтогоРесМет 4" xfId="82"/>
    <cellStyle name="ИтогоРесМет 5" xfId="83"/>
    <cellStyle name="ИтогоРесМет 6" xfId="84"/>
    <cellStyle name="Контрольная ячейка" xfId="85"/>
    <cellStyle name="ЛокСмета" xfId="86"/>
    <cellStyle name="ЛокСмМТСН" xfId="87"/>
    <cellStyle name="ЛокСмМТСН 2" xfId="88"/>
    <cellStyle name="ЛокСмМТСН 3" xfId="89"/>
    <cellStyle name="ЛокСмМТСН 4" xfId="90"/>
    <cellStyle name="ЛокСмМТСН 5" xfId="91"/>
    <cellStyle name="ЛокСмМТСН 6" xfId="92"/>
    <cellStyle name="М29" xfId="93"/>
    <cellStyle name="М29 2" xfId="94"/>
    <cellStyle name="М29 3" xfId="95"/>
    <cellStyle name="М29 4" xfId="96"/>
    <cellStyle name="М29 5" xfId="97"/>
    <cellStyle name="М29 6" xfId="98"/>
    <cellStyle name="Название" xfId="99"/>
    <cellStyle name="Нейтральный" xfId="100"/>
    <cellStyle name="ОбСмета" xfId="101"/>
    <cellStyle name="ОбСмета 2" xfId="102"/>
    <cellStyle name="ОбСмета 3" xfId="103"/>
    <cellStyle name="ОбСмета 4" xfId="104"/>
    <cellStyle name="ОбСмета 5" xfId="105"/>
    <cellStyle name="ОбСмета 6" xfId="106"/>
    <cellStyle name="Параметр" xfId="107"/>
    <cellStyle name="ПеременныеСметы" xfId="108"/>
    <cellStyle name="Плохой" xfId="109"/>
    <cellStyle name="Пояснение" xfId="110"/>
    <cellStyle name="Примечание" xfId="111"/>
    <cellStyle name="Percent" xfId="112"/>
    <cellStyle name="РесСмета" xfId="113"/>
    <cellStyle name="СводкаСтоимРаб" xfId="114"/>
    <cellStyle name="СводРасч" xfId="115"/>
    <cellStyle name="СводРасч 2" xfId="116"/>
    <cellStyle name="СводРасч 3" xfId="117"/>
    <cellStyle name="СводРасч 4" xfId="118"/>
    <cellStyle name="СводРасч 5" xfId="119"/>
    <cellStyle name="СводРасч 6" xfId="120"/>
    <cellStyle name="Связанная ячейка" xfId="121"/>
    <cellStyle name="Текст предупреждения" xfId="122"/>
    <cellStyle name="Титул" xfId="123"/>
    <cellStyle name="Comma" xfId="124"/>
    <cellStyle name="Comma [0]" xfId="125"/>
    <cellStyle name="Хвост" xfId="126"/>
    <cellStyle name="Хороший" xfId="127"/>
    <cellStyle name="Экспертиза" xfId="1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5"/>
  <sheetViews>
    <sheetView showGridLines="0" tabSelected="1" view="pageBreakPreview" zoomScaleSheetLayoutView="100" zoomScalePageLayoutView="0" workbookViewId="0" topLeftCell="A1">
      <selection activeCell="L58" sqref="L58"/>
    </sheetView>
  </sheetViews>
  <sheetFormatPr defaultColWidth="9.00390625" defaultRowHeight="12.75"/>
  <cols>
    <col min="1" max="1" width="9.125" style="1" customWidth="1"/>
    <col min="2" max="2" width="50.375" style="1" customWidth="1"/>
    <col min="3" max="3" width="41.375" style="1" customWidth="1"/>
    <col min="4" max="4" width="21.75390625" style="1" customWidth="1"/>
    <col min="5" max="10" width="22.125" style="1" hidden="1" customWidth="1"/>
    <col min="11" max="11" width="73.75390625" style="1" hidden="1" customWidth="1"/>
    <col min="12" max="12" width="16.00390625" style="1" customWidth="1"/>
    <col min="13" max="15" width="9.125" style="1" customWidth="1"/>
    <col min="16" max="16384" width="9.125" style="1" customWidth="1"/>
  </cols>
  <sheetData>
    <row r="1" spans="1:12" s="26" customFormat="1" ht="15">
      <c r="A1" s="28"/>
      <c r="B1" s="28"/>
      <c r="C1" s="28"/>
      <c r="D1" s="28"/>
      <c r="L1" s="2" t="s">
        <v>85</v>
      </c>
    </row>
    <row r="2" spans="1:12" s="26" customFormat="1" ht="15">
      <c r="A2" s="24"/>
      <c r="B2" s="24"/>
      <c r="C2" s="24"/>
      <c r="D2" s="25"/>
      <c r="E2" s="25" t="s">
        <v>79</v>
      </c>
      <c r="F2" s="25" t="s">
        <v>79</v>
      </c>
      <c r="G2" s="25" t="s">
        <v>79</v>
      </c>
      <c r="H2" s="25" t="s">
        <v>79</v>
      </c>
      <c r="I2" s="25" t="s">
        <v>79</v>
      </c>
      <c r="J2" s="25" t="s">
        <v>79</v>
      </c>
      <c r="K2" s="25" t="s">
        <v>79</v>
      </c>
      <c r="L2" s="25" t="s">
        <v>79</v>
      </c>
    </row>
    <row r="3" spans="1:12" s="26" customFormat="1" ht="17.25" customHeight="1">
      <c r="A3" s="24"/>
      <c r="B3" s="24"/>
      <c r="C3" s="48" t="s">
        <v>80</v>
      </c>
      <c r="D3" s="48"/>
      <c r="E3" s="48"/>
      <c r="F3" s="48"/>
      <c r="G3" s="48"/>
      <c r="H3" s="48"/>
      <c r="I3" s="48"/>
      <c r="J3" s="48"/>
      <c r="K3" s="48"/>
      <c r="L3" s="48"/>
    </row>
    <row r="4" spans="1:12" s="26" customFormat="1" ht="14.25" customHeight="1">
      <c r="A4" s="24"/>
      <c r="B4" s="24"/>
      <c r="C4" s="24"/>
      <c r="D4" s="51" t="s">
        <v>81</v>
      </c>
      <c r="E4" s="51"/>
      <c r="F4" s="51"/>
      <c r="G4" s="51"/>
      <c r="H4" s="51"/>
      <c r="I4" s="51"/>
      <c r="J4" s="51"/>
      <c r="K4" s="51"/>
      <c r="L4" s="51"/>
    </row>
    <row r="5" spans="1:12" s="26" customFormat="1" ht="33" customHeight="1">
      <c r="A5" s="24"/>
      <c r="B5" s="24"/>
      <c r="C5" s="24"/>
      <c r="D5" s="52" t="s">
        <v>82</v>
      </c>
      <c r="E5" s="52"/>
      <c r="F5" s="52"/>
      <c r="G5" s="52"/>
      <c r="H5" s="52"/>
      <c r="I5" s="52"/>
      <c r="J5" s="52"/>
      <c r="K5" s="52"/>
      <c r="L5" s="52"/>
    </row>
    <row r="6" spans="1:12" s="26" customFormat="1" ht="15">
      <c r="A6" s="24"/>
      <c r="B6" s="24"/>
      <c r="C6" s="24"/>
      <c r="D6" s="29"/>
      <c r="E6" s="30"/>
      <c r="F6" s="30"/>
      <c r="G6" s="30"/>
      <c r="H6" s="30"/>
      <c r="I6" s="30"/>
      <c r="J6" s="30"/>
      <c r="K6" s="30"/>
      <c r="L6" s="30"/>
    </row>
    <row r="7" spans="1:12" s="26" customFormat="1" ht="15">
      <c r="A7" s="11"/>
      <c r="B7" s="11"/>
      <c r="C7" s="11"/>
      <c r="D7" s="31"/>
      <c r="E7" s="2"/>
      <c r="F7" s="2"/>
      <c r="G7" s="2"/>
      <c r="H7" s="2"/>
      <c r="I7" s="2"/>
      <c r="J7" s="2"/>
      <c r="K7" s="2"/>
      <c r="L7" s="2"/>
    </row>
    <row r="8" spans="1:4" s="26" customFormat="1" ht="15">
      <c r="A8" s="11"/>
      <c r="B8" s="11"/>
      <c r="C8" s="11"/>
      <c r="D8" s="11"/>
    </row>
    <row r="9" spans="1:4" s="26" customFormat="1" ht="15">
      <c r="A9" s="11"/>
      <c r="B9" s="11"/>
      <c r="C9" s="11"/>
      <c r="D9" s="11"/>
    </row>
    <row r="10" spans="1:12" s="26" customFormat="1" ht="18">
      <c r="A10" s="33" t="s">
        <v>86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</row>
    <row r="11" spans="1:12" s="26" customFormat="1" ht="1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</row>
    <row r="12" spans="1:12" s="26" customFormat="1" ht="15">
      <c r="A12" s="3"/>
      <c r="B12" s="3" t="s">
        <v>87</v>
      </c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s="26" customFormat="1" ht="15">
      <c r="A13" s="3"/>
      <c r="B13" s="49" t="s">
        <v>88</v>
      </c>
      <c r="C13" s="49"/>
      <c r="D13" s="49"/>
      <c r="E13" s="49"/>
      <c r="F13" s="49"/>
      <c r="G13" s="49"/>
      <c r="H13" s="49"/>
      <c r="I13" s="49"/>
      <c r="J13" s="49"/>
      <c r="K13" s="49"/>
      <c r="L13" s="49"/>
    </row>
    <row r="14" spans="1:12" ht="15">
      <c r="A14" s="3"/>
      <c r="B14" s="3"/>
      <c r="C14" s="4"/>
      <c r="D14" s="4"/>
      <c r="E14" s="4"/>
      <c r="F14" s="4"/>
      <c r="G14" s="4"/>
      <c r="H14" s="4"/>
      <c r="I14" s="4"/>
      <c r="J14" s="4"/>
      <c r="K14" s="4"/>
      <c r="L14" s="5" t="s">
        <v>5</v>
      </c>
    </row>
    <row r="15" spans="1:12" s="7" customFormat="1" ht="121.5" customHeight="1">
      <c r="A15" s="6" t="s">
        <v>0</v>
      </c>
      <c r="B15" s="6" t="s">
        <v>1</v>
      </c>
      <c r="C15" s="6" t="s">
        <v>2</v>
      </c>
      <c r="D15" s="6" t="s">
        <v>3</v>
      </c>
      <c r="E15" s="6"/>
      <c r="F15" s="6"/>
      <c r="G15" s="6"/>
      <c r="H15" s="6"/>
      <c r="I15" s="6"/>
      <c r="J15" s="6"/>
      <c r="K15" s="6"/>
      <c r="L15" s="6" t="s">
        <v>4</v>
      </c>
    </row>
    <row r="16" spans="1:12" ht="15">
      <c r="A16" s="12">
        <v>1</v>
      </c>
      <c r="B16" s="12">
        <v>2</v>
      </c>
      <c r="C16" s="12">
        <v>3</v>
      </c>
      <c r="D16" s="12">
        <v>4</v>
      </c>
      <c r="E16" s="12"/>
      <c r="F16" s="12"/>
      <c r="G16" s="12"/>
      <c r="H16" s="12"/>
      <c r="I16" s="12"/>
      <c r="J16" s="12"/>
      <c r="K16" s="12"/>
      <c r="L16" s="12">
        <v>5</v>
      </c>
    </row>
    <row r="17" spans="1:12" s="8" customFormat="1" ht="22.5" customHeight="1">
      <c r="A17" s="34" t="s">
        <v>44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</row>
    <row r="18" spans="1:17" s="9" customFormat="1" ht="45">
      <c r="A18" s="13">
        <v>1</v>
      </c>
      <c r="B18" s="14" t="s">
        <v>6</v>
      </c>
      <c r="C18" s="14" t="s">
        <v>56</v>
      </c>
      <c r="D18" s="15" t="s">
        <v>45</v>
      </c>
      <c r="E18" s="16">
        <v>1</v>
      </c>
      <c r="F18" s="16" t="str">
        <f ca="1">IF(INDIRECT("J"&amp;ROW())="текущие цены",IF(INDIRECT("G"&amp;ROW())="","0","0"),IF(INDIRECT("G"&amp;ROW())="","172080.48","170040"))</f>
        <v>170040</v>
      </c>
      <c r="G18" s="16">
        <v>1.012</v>
      </c>
      <c r="H18" s="16"/>
      <c r="I18" s="16"/>
      <c r="J18" s="16" t="s">
        <v>7</v>
      </c>
      <c r="K18" s="16" t="s">
        <v>8</v>
      </c>
      <c r="L18" s="17">
        <v>306.87888</v>
      </c>
      <c r="M18" s="8"/>
      <c r="N18" s="8"/>
      <c r="O18" s="8"/>
      <c r="P18" s="8"/>
      <c r="Q18" s="8"/>
    </row>
    <row r="19" spans="1:17" ht="45">
      <c r="A19" s="13">
        <v>2</v>
      </c>
      <c r="B19" s="14" t="s">
        <v>9</v>
      </c>
      <c r="C19" s="14" t="s">
        <v>57</v>
      </c>
      <c r="D19" s="15" t="s">
        <v>46</v>
      </c>
      <c r="E19" s="16">
        <v>1</v>
      </c>
      <c r="F19" s="16" t="str">
        <f ca="1">IF(INDIRECT("J"&amp;ROW())="текущие цены",IF(INDIRECT("G"&amp;ROW())="","0","0"),IF(INDIRECT("G"&amp;ROW())="","236787.76","233980"))</f>
        <v>233980</v>
      </c>
      <c r="G19" s="16">
        <v>1.012</v>
      </c>
      <c r="H19" s="16"/>
      <c r="I19" s="16"/>
      <c r="J19" s="16" t="s">
        <v>7</v>
      </c>
      <c r="K19" s="16" t="s">
        <v>8</v>
      </c>
      <c r="L19" s="17">
        <v>263.92996</v>
      </c>
      <c r="M19" s="8"/>
      <c r="N19" s="8"/>
      <c r="O19" s="8"/>
      <c r="P19" s="8"/>
      <c r="Q19" s="8"/>
    </row>
    <row r="20" spans="1:17" ht="45">
      <c r="A20" s="13">
        <v>3</v>
      </c>
      <c r="B20" s="14" t="s">
        <v>10</v>
      </c>
      <c r="C20" s="14" t="s">
        <v>58</v>
      </c>
      <c r="D20" s="15" t="s">
        <v>47</v>
      </c>
      <c r="E20" s="16">
        <v>1</v>
      </c>
      <c r="F20" s="16" t="str">
        <f ca="1">IF(INDIRECT("J"&amp;ROW())="текущие цены",IF(INDIRECT("G"&amp;ROW())="","0","0"),IF(INDIRECT("G"&amp;ROW())="","171453.04","169420"))</f>
        <v>169420</v>
      </c>
      <c r="G20" s="16">
        <v>1.012</v>
      </c>
      <c r="H20" s="16"/>
      <c r="I20" s="16"/>
      <c r="J20" s="16" t="s">
        <v>7</v>
      </c>
      <c r="K20" s="16" t="s">
        <v>8</v>
      </c>
      <c r="L20" s="17">
        <v>232.20704</v>
      </c>
      <c r="M20" s="8"/>
      <c r="N20" s="8"/>
      <c r="O20" s="8"/>
      <c r="P20" s="8"/>
      <c r="Q20" s="8"/>
    </row>
    <row r="21" spans="1:17" ht="45">
      <c r="A21" s="13">
        <v>4</v>
      </c>
      <c r="B21" s="14" t="s">
        <v>11</v>
      </c>
      <c r="C21" s="14" t="s">
        <v>59</v>
      </c>
      <c r="D21" s="15" t="s">
        <v>48</v>
      </c>
      <c r="E21" s="16">
        <v>2</v>
      </c>
      <c r="F21" s="16" t="str">
        <f ca="1">IF(INDIRECT("J"&amp;ROW())="текущие цены",IF(INDIRECT("G"&amp;ROW())="","0","0"),IF(INDIRECT("G"&amp;ROW())="","20968.64","20720"))</f>
        <v>20720</v>
      </c>
      <c r="G21" s="16">
        <v>1.012</v>
      </c>
      <c r="H21" s="16"/>
      <c r="I21" s="16"/>
      <c r="J21" s="16" t="s">
        <v>7</v>
      </c>
      <c r="K21" s="16" t="s">
        <v>8</v>
      </c>
      <c r="L21" s="17">
        <v>118.20160000000001</v>
      </c>
      <c r="M21" s="8"/>
      <c r="N21" s="8"/>
      <c r="O21" s="8"/>
      <c r="P21" s="8"/>
      <c r="Q21" s="8"/>
    </row>
    <row r="22" spans="1:17" ht="45">
      <c r="A22" s="13">
        <v>5</v>
      </c>
      <c r="B22" s="14" t="s">
        <v>12</v>
      </c>
      <c r="C22" s="14" t="s">
        <v>60</v>
      </c>
      <c r="D22" s="15" t="s">
        <v>49</v>
      </c>
      <c r="E22" s="16">
        <v>1</v>
      </c>
      <c r="F22" s="16" t="str">
        <f ca="1">IF(INDIRECT("J"&amp;ROW())="текущие цены",IF(INDIRECT("G"&amp;ROW())="","0","0"),IF(INDIRECT("G"&amp;ROW())="","61995.12","61260"))</f>
        <v>61260</v>
      </c>
      <c r="G22" s="16">
        <v>1.012</v>
      </c>
      <c r="H22" s="16"/>
      <c r="I22" s="16"/>
      <c r="J22" s="16" t="s">
        <v>7</v>
      </c>
      <c r="K22" s="16" t="s">
        <v>8</v>
      </c>
      <c r="L22" s="17">
        <v>63.6548</v>
      </c>
      <c r="M22" s="8"/>
      <c r="N22" s="8"/>
      <c r="O22" s="8"/>
      <c r="P22" s="8"/>
      <c r="Q22" s="8"/>
    </row>
    <row r="23" spans="1:17" ht="60">
      <c r="A23" s="13">
        <v>6</v>
      </c>
      <c r="B23" s="14" t="s">
        <v>13</v>
      </c>
      <c r="C23" s="14" t="s">
        <v>61</v>
      </c>
      <c r="D23" s="15" t="s">
        <v>50</v>
      </c>
      <c r="E23" s="16">
        <v>1</v>
      </c>
      <c r="F23" s="16" t="str">
        <f ca="1">IF(INDIRECT("J"&amp;ROW())="текущие цены",IF(INDIRECT("G"&amp;ROW())="","0","0"),IF(INDIRECT("G"&amp;ROW())="","96524.56","95380"))</f>
        <v>95380</v>
      </c>
      <c r="G23" s="16">
        <v>1.012</v>
      </c>
      <c r="H23" s="16"/>
      <c r="I23" s="16"/>
      <c r="J23" s="16" t="s">
        <v>7</v>
      </c>
      <c r="K23" s="16" t="s">
        <v>8</v>
      </c>
      <c r="L23" s="17">
        <v>97.33062</v>
      </c>
      <c r="M23" s="8"/>
      <c r="N23" s="8"/>
      <c r="O23" s="8"/>
      <c r="P23" s="8"/>
      <c r="Q23" s="8"/>
    </row>
    <row r="24" spans="1:17" ht="15">
      <c r="A24" s="36" t="s">
        <v>77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17">
        <f>1082202.9/1000</f>
        <v>1082.2029</v>
      </c>
      <c r="M24" s="8"/>
      <c r="N24" s="8"/>
      <c r="O24" s="8"/>
      <c r="P24" s="8"/>
      <c r="Q24" s="8"/>
    </row>
    <row r="25" spans="1:17" ht="15.75">
      <c r="A25" s="50" t="s">
        <v>14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17"/>
      <c r="M25" s="8"/>
      <c r="N25" s="8"/>
      <c r="O25" s="8"/>
      <c r="P25" s="8"/>
      <c r="Q25" s="8"/>
    </row>
    <row r="26" spans="1:17" ht="15">
      <c r="A26" s="36" t="s">
        <v>15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17">
        <f>1082202.9/1000</f>
        <v>1082.2029</v>
      </c>
      <c r="M26" s="8"/>
      <c r="N26" s="8"/>
      <c r="O26" s="8"/>
      <c r="P26" s="8"/>
      <c r="Q26" s="8"/>
    </row>
    <row r="27" spans="1:17" ht="15">
      <c r="A27" s="36" t="s">
        <v>16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17">
        <f>1082202.9/1000</f>
        <v>1082.2029</v>
      </c>
      <c r="M27" s="8"/>
      <c r="N27" s="8"/>
      <c r="O27" s="8"/>
      <c r="P27" s="8"/>
      <c r="Q27" s="8"/>
    </row>
    <row r="28" spans="1:17" ht="15">
      <c r="A28" s="36" t="s">
        <v>51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17">
        <f>4036616.82/1000</f>
        <v>4036.6168199999997</v>
      </c>
      <c r="M28" s="8"/>
      <c r="N28" s="8"/>
      <c r="O28" s="8"/>
      <c r="P28" s="8"/>
      <c r="Q28" s="8"/>
    </row>
    <row r="29" spans="1:17" ht="15" customHeight="1">
      <c r="A29" s="41" t="s">
        <v>17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22">
        <f>4036616.82/1000</f>
        <v>4036.6168199999997</v>
      </c>
      <c r="M29" s="8"/>
      <c r="N29" s="8"/>
      <c r="O29" s="8"/>
      <c r="P29" s="8"/>
      <c r="Q29" s="8"/>
    </row>
    <row r="30" spans="1:17" ht="16.5">
      <c r="A30" s="34" t="s">
        <v>52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8"/>
      <c r="N30" s="8"/>
      <c r="O30" s="8"/>
      <c r="P30" s="8"/>
      <c r="Q30" s="8"/>
    </row>
    <row r="31" spans="1:17" ht="105">
      <c r="A31" s="13">
        <v>7</v>
      </c>
      <c r="B31" s="14" t="s">
        <v>18</v>
      </c>
      <c r="C31" s="14" t="s">
        <v>62</v>
      </c>
      <c r="D31" s="15" t="str">
        <f ca="1">IF(INDIRECT("H"&amp;ROW())="",INDIRECT("E"&amp;ROW()),"("&amp;INDIRECT("H"&amp;ROW())&amp;")")&amp;IF(INDIRECT("F"&amp;ROW())="0"," * 0",IF(INDIRECT("F"&amp;ROW())="",IF(INDIRECT("I"&amp;ROW())=""," "," * "&amp;INDIRECT("I"&amp;ROW()))," * "&amp;INDIRECT("F"&amp;ROW())))&amp;IF(INDIRECT("G"&amp;ROW())=""," "," * "&amp;INDIRECT("G"&amp;ROW()))</f>
        <v>1 * 4991 * 1,1</v>
      </c>
      <c r="E31" s="16">
        <v>1</v>
      </c>
      <c r="F31" s="16" t="str">
        <f ca="1">IF(INDIRECT("J"&amp;ROW())="текущие цены",IF(INDIRECT("G"&amp;ROW())="","0","0"),IF(INDIRECT("G"&amp;ROW())="","5490.1","4991"))</f>
        <v>4991</v>
      </c>
      <c r="G31" s="16">
        <v>1.1</v>
      </c>
      <c r="H31" s="16"/>
      <c r="I31" s="16"/>
      <c r="J31" s="16" t="s">
        <v>7</v>
      </c>
      <c r="K31" s="16" t="s">
        <v>19</v>
      </c>
      <c r="L31" s="17">
        <f ca="1">IF(INDIRECT("J"&amp;ROW())="текущие цены",0/1000,5490.1/1000)</f>
        <v>5.4901</v>
      </c>
      <c r="M31" s="8"/>
      <c r="N31" s="8"/>
      <c r="O31" s="8"/>
      <c r="P31" s="8"/>
      <c r="Q31" s="8"/>
    </row>
    <row r="32" spans="1:17" ht="60">
      <c r="A32" s="13">
        <v>8</v>
      </c>
      <c r="B32" s="14" t="s">
        <v>20</v>
      </c>
      <c r="C32" s="14" t="s">
        <v>63</v>
      </c>
      <c r="D32" s="15" t="str">
        <f ca="1">IF(INDIRECT("H"&amp;ROW())="",INDIRECT("E"&amp;ROW()),"("&amp;INDIRECT("H"&amp;ROW())&amp;")")&amp;IF(INDIRECT("F"&amp;ROW())="0"," * 0",IF(INDIRECT("F"&amp;ROW())="",IF(INDIRECT("I"&amp;ROW())=""," "," * "&amp;INDIRECT("I"&amp;ROW()))," * "&amp;INDIRECT("F"&amp;ROW())))&amp;IF(INDIRECT("G"&amp;ROW())=""," "," * "&amp;INDIRECT("G"&amp;ROW()))</f>
        <v>1 * 1692 </v>
      </c>
      <c r="E32" s="16">
        <v>1</v>
      </c>
      <c r="F32" s="16" t="str">
        <f ca="1">IF(INDIRECT("J"&amp;ROW())="текущие цены",IF(INDIRECT("G"&amp;ROW())="","0","0"),IF(INDIRECT("G"&amp;ROW())="","1692","1692"))</f>
        <v>1692</v>
      </c>
      <c r="G32" s="16"/>
      <c r="H32" s="16"/>
      <c r="I32" s="16"/>
      <c r="J32" s="16" t="s">
        <v>7</v>
      </c>
      <c r="K32" s="16"/>
      <c r="L32" s="17">
        <f ca="1">IF(INDIRECT("J"&amp;ROW())="текущие цены",0/1000,1692/1000)</f>
        <v>1.692</v>
      </c>
      <c r="M32" s="8"/>
      <c r="N32" s="8"/>
      <c r="O32" s="8"/>
      <c r="P32" s="8"/>
      <c r="Q32" s="8"/>
    </row>
    <row r="33" spans="1:17" ht="45">
      <c r="A33" s="13">
        <v>9</v>
      </c>
      <c r="B33" s="14" t="s">
        <v>21</v>
      </c>
      <c r="C33" s="14" t="s">
        <v>64</v>
      </c>
      <c r="D33" s="15" t="str">
        <f ca="1">IF(INDIRECT("H"&amp;ROW())="",INDIRECT("E"&amp;ROW()),"("&amp;INDIRECT("H"&amp;ROW())&amp;")")&amp;IF(INDIRECT("F"&amp;ROW())="0"," * 0",IF(INDIRECT("F"&amp;ROW())="",IF(INDIRECT("I"&amp;ROW())=""," "," * "&amp;INDIRECT("I"&amp;ROW()))," * "&amp;INDIRECT("F"&amp;ROW())))&amp;IF(INDIRECT("G"&amp;ROW())=""," "," * "&amp;INDIRECT("G"&amp;ROW()))</f>
        <v>0,3 * 12076 </v>
      </c>
      <c r="E33" s="16">
        <v>0.3</v>
      </c>
      <c r="F33" s="16" t="str">
        <f ca="1">IF(INDIRECT("J"&amp;ROW())="текущие цены",IF(INDIRECT("G"&amp;ROW())="","0","0"),IF(INDIRECT("G"&amp;ROW())="","12076","12076"))</f>
        <v>12076</v>
      </c>
      <c r="G33" s="16"/>
      <c r="H33" s="16"/>
      <c r="I33" s="16"/>
      <c r="J33" s="16" t="s">
        <v>7</v>
      </c>
      <c r="K33" s="16"/>
      <c r="L33" s="17">
        <f ca="1">IF(INDIRECT("J"&amp;ROW())="текущие цены",0/1000,3622.8/1000)</f>
        <v>3.6228000000000002</v>
      </c>
      <c r="M33" s="8"/>
      <c r="N33" s="8"/>
      <c r="O33" s="8"/>
      <c r="P33" s="8"/>
      <c r="Q33" s="8"/>
    </row>
    <row r="34" spans="1:17" ht="45">
      <c r="A34" s="13">
        <v>10</v>
      </c>
      <c r="B34" s="14" t="s">
        <v>22</v>
      </c>
      <c r="C34" s="14" t="s">
        <v>65</v>
      </c>
      <c r="D34" s="15" t="str">
        <f ca="1">IF(INDIRECT("H"&amp;ROW())="",INDIRECT("E"&amp;ROW()),"("&amp;INDIRECT("H"&amp;ROW())&amp;")")&amp;IF(INDIRECT("F"&amp;ROW())="0"," * 0",IF(INDIRECT("F"&amp;ROW())="",IF(INDIRECT("I"&amp;ROW())=""," "," * "&amp;INDIRECT("I"&amp;ROW()))," * "&amp;INDIRECT("F"&amp;ROW())))&amp;IF(INDIRECT("G"&amp;ROW())=""," "," * "&amp;INDIRECT("G"&amp;ROW()))</f>
        <v>0,3 * 5327 </v>
      </c>
      <c r="E34" s="16">
        <v>0.3</v>
      </c>
      <c r="F34" s="16" t="str">
        <f ca="1">IF(INDIRECT("J"&amp;ROW())="текущие цены",IF(INDIRECT("G"&amp;ROW())="","0","0"),IF(INDIRECT("G"&amp;ROW())="","5327","5327"))</f>
        <v>5327</v>
      </c>
      <c r="G34" s="16"/>
      <c r="H34" s="16"/>
      <c r="I34" s="16"/>
      <c r="J34" s="16" t="s">
        <v>7</v>
      </c>
      <c r="K34" s="16"/>
      <c r="L34" s="17">
        <f ca="1">IF(INDIRECT("J"&amp;ROW())="текущие цены",0/1000,1598.1/1000)</f>
        <v>1.5980999999999999</v>
      </c>
      <c r="M34" s="8"/>
      <c r="N34" s="8"/>
      <c r="O34" s="8"/>
      <c r="P34" s="8"/>
      <c r="Q34" s="8"/>
    </row>
    <row r="35" spans="1:17" ht="90">
      <c r="A35" s="18">
        <v>11</v>
      </c>
      <c r="B35" s="19" t="s">
        <v>23</v>
      </c>
      <c r="C35" s="19" t="s">
        <v>66</v>
      </c>
      <c r="D35" s="20" t="str">
        <f ca="1">IF(INDIRECT("H"&amp;ROW())="",INDIRECT("E"&amp;ROW()),"("&amp;INDIRECT("H"&amp;ROW())&amp;")")&amp;IF(INDIRECT("F"&amp;ROW())="0"," * 0",IF(INDIRECT("F"&amp;ROW())="",IF(INDIRECT("I"&amp;ROW())=""," "," * "&amp;INDIRECT("I"&amp;ROW()))," * "&amp;INDIRECT("F"&amp;ROW())))&amp;IF(INDIRECT("G"&amp;ROW())=""," "," * "&amp;INDIRECT("G"&amp;ROW()))</f>
        <v>4 * 496.12 </v>
      </c>
      <c r="E35" s="21">
        <v>4</v>
      </c>
      <c r="F35" s="21" t="str">
        <f ca="1">IF(INDIRECT("J"&amp;ROW())="текущие цены",IF(INDIRECT("G"&amp;ROW())="","0","0"),IF(INDIRECT("G"&amp;ROW())="","496.12","496.12"))</f>
        <v>496.12</v>
      </c>
      <c r="G35" s="21"/>
      <c r="H35" s="21"/>
      <c r="I35" s="21"/>
      <c r="J35" s="21" t="s">
        <v>7</v>
      </c>
      <c r="K35" s="21"/>
      <c r="L35" s="22">
        <f ca="1">IF(INDIRECT("J"&amp;ROW())="текущие цены",0/1000,1984.48/1000)</f>
        <v>1.98448</v>
      </c>
      <c r="M35" s="8"/>
      <c r="N35" s="8"/>
      <c r="O35" s="8"/>
      <c r="P35" s="8"/>
      <c r="Q35" s="8"/>
    </row>
    <row r="36" spans="1:17" ht="15">
      <c r="A36" s="36" t="s">
        <v>77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17">
        <f>14387.48/1000</f>
        <v>14.38748</v>
      </c>
      <c r="M36" s="8"/>
      <c r="N36" s="8"/>
      <c r="O36" s="8"/>
      <c r="P36" s="8"/>
      <c r="Q36" s="8"/>
    </row>
    <row r="37" spans="1:17" ht="22.5" customHeight="1">
      <c r="A37" s="50" t="s">
        <v>24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17"/>
      <c r="M37" s="8"/>
      <c r="N37" s="8"/>
      <c r="O37" s="8"/>
      <c r="P37" s="8"/>
      <c r="Q37" s="8"/>
    </row>
    <row r="38" spans="1:17" ht="15">
      <c r="A38" s="36" t="s">
        <v>25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17">
        <f>14387.48/1000</f>
        <v>14.38748</v>
      </c>
      <c r="M38" s="8"/>
      <c r="N38" s="8"/>
      <c r="O38" s="8"/>
      <c r="P38" s="8"/>
      <c r="Q38" s="8"/>
    </row>
    <row r="39" spans="1:17" ht="15">
      <c r="A39" s="36" t="s">
        <v>16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17">
        <f>14387.48/1000</f>
        <v>14.38748</v>
      </c>
      <c r="M39" s="8"/>
      <c r="N39" s="8"/>
      <c r="O39" s="8"/>
      <c r="P39" s="8"/>
      <c r="Q39" s="8"/>
    </row>
    <row r="40" spans="1:17" ht="15">
      <c r="A40" s="36" t="s">
        <v>53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17">
        <f>54528.55/1000</f>
        <v>54.52855</v>
      </c>
      <c r="M40" s="8"/>
      <c r="N40" s="8"/>
      <c r="O40" s="8"/>
      <c r="P40" s="8"/>
      <c r="Q40" s="8"/>
    </row>
    <row r="41" spans="1:17" ht="15" customHeight="1">
      <c r="A41" s="41" t="s">
        <v>26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22">
        <f>54528.55/1000</f>
        <v>54.52855</v>
      </c>
      <c r="M41" s="8"/>
      <c r="N41" s="8"/>
      <c r="O41" s="8"/>
      <c r="P41" s="8"/>
      <c r="Q41" s="8"/>
    </row>
    <row r="42" spans="1:17" ht="16.5">
      <c r="A42" s="34" t="s">
        <v>54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8"/>
      <c r="N42" s="8"/>
      <c r="O42" s="8"/>
      <c r="P42" s="8"/>
      <c r="Q42" s="8"/>
    </row>
    <row r="43" spans="1:17" ht="15">
      <c r="A43" s="43" t="s">
        <v>27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8"/>
      <c r="N43" s="8"/>
      <c r="O43" s="8"/>
      <c r="P43" s="8"/>
      <c r="Q43" s="8"/>
    </row>
    <row r="44" spans="1:17" ht="120">
      <c r="A44" s="13">
        <v>12</v>
      </c>
      <c r="B44" s="14" t="s">
        <v>28</v>
      </c>
      <c r="C44" s="14" t="s">
        <v>67</v>
      </c>
      <c r="D44" s="15" t="str">
        <f ca="1">IF(INDIRECT("H"&amp;ROW())="",INDIRECT("E"&amp;ROW()),"("&amp;INDIRECT("H"&amp;ROW())&amp;")")&amp;IF(INDIRECT("F"&amp;ROW())="0"," * 0",IF(INDIRECT("F"&amp;ROW())="",IF(INDIRECT("I"&amp;ROW())=""," "," * "&amp;INDIRECT("I"&amp;ROW()))," * "&amp;INDIRECT("F"&amp;ROW())))&amp;IF(INDIRECT("G"&amp;ROW())=""," "," * "&amp;INDIRECT("G"&amp;ROW()))</f>
        <v>15 * 36 * 0,9</v>
      </c>
      <c r="E44" s="16">
        <v>15</v>
      </c>
      <c r="F44" s="16" t="str">
        <f ca="1">IF(INDIRECT("J"&amp;ROW())="текущие цены",IF(INDIRECT("G"&amp;ROW())="","0","0"),IF(INDIRECT("G"&amp;ROW())="","32.4","36"))</f>
        <v>36</v>
      </c>
      <c r="G44" s="16">
        <v>0.9</v>
      </c>
      <c r="H44" s="16"/>
      <c r="I44" s="16"/>
      <c r="J44" s="16" t="s">
        <v>7</v>
      </c>
      <c r="K44" s="16" t="s">
        <v>29</v>
      </c>
      <c r="L44" s="17">
        <f ca="1">IF(INDIRECT("J"&amp;ROW())="текущие цены",0/1000,486/1000)</f>
        <v>0.486</v>
      </c>
      <c r="M44" s="8"/>
      <c r="N44" s="8"/>
      <c r="O44" s="8"/>
      <c r="P44" s="8"/>
      <c r="Q44" s="8"/>
    </row>
    <row r="45" spans="1:17" ht="45">
      <c r="A45" s="13">
        <v>13</v>
      </c>
      <c r="B45" s="14" t="s">
        <v>30</v>
      </c>
      <c r="C45" s="14" t="s">
        <v>68</v>
      </c>
      <c r="D45" s="15" t="str">
        <f ca="1">IF(INDIRECT("H"&amp;ROW())="",INDIRECT("E"&amp;ROW()),"("&amp;INDIRECT("H"&amp;ROW())&amp;")")&amp;IF(INDIRECT("F"&amp;ROW())="0"," * 0",IF(INDIRECT("F"&amp;ROW())="",IF(INDIRECT("I"&amp;ROW())=""," "," * "&amp;INDIRECT("I"&amp;ROW()))," * "&amp;INDIRECT("F"&amp;ROW())))&amp;IF(INDIRECT("G"&amp;ROW())=""," "," * "&amp;INDIRECT("G"&amp;ROW()))</f>
        <v>10 * 22.9 </v>
      </c>
      <c r="E45" s="16">
        <v>10</v>
      </c>
      <c r="F45" s="16" t="str">
        <f ca="1">IF(INDIRECT("J"&amp;ROW())="текущие цены",IF(INDIRECT("G"&amp;ROW())="","0","0"),IF(INDIRECT("G"&amp;ROW())="","22.9","22.9"))</f>
        <v>22.9</v>
      </c>
      <c r="G45" s="16"/>
      <c r="H45" s="16"/>
      <c r="I45" s="16"/>
      <c r="J45" s="16" t="s">
        <v>7</v>
      </c>
      <c r="K45" s="16"/>
      <c r="L45" s="17">
        <f ca="1">IF(INDIRECT("J"&amp;ROW())="текущие цены",0/1000,229/1000)</f>
        <v>0.229</v>
      </c>
      <c r="M45" s="8"/>
      <c r="N45" s="8"/>
      <c r="O45" s="8"/>
      <c r="P45" s="8"/>
      <c r="Q45" s="8"/>
    </row>
    <row r="46" spans="1:17" ht="15">
      <c r="A46" s="43" t="s">
        <v>31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8"/>
      <c r="N46" s="8"/>
      <c r="O46" s="8"/>
      <c r="P46" s="8"/>
      <c r="Q46" s="8"/>
    </row>
    <row r="47" spans="1:17" ht="31.5" customHeight="1">
      <c r="A47" s="13">
        <v>14</v>
      </c>
      <c r="B47" s="14" t="s">
        <v>32</v>
      </c>
      <c r="C47" s="14" t="s">
        <v>69</v>
      </c>
      <c r="D47" s="15" t="str">
        <f ca="1">IF(INDIRECT("H"&amp;ROW())="",INDIRECT("E"&amp;ROW()),"("&amp;INDIRECT("H"&amp;ROW())&amp;")")&amp;IF(INDIRECT("F"&amp;ROW())="0"," * 0",IF(INDIRECT("F"&amp;ROW())="",IF(INDIRECT("I"&amp;ROW())=""," "," * "&amp;INDIRECT("I"&amp;ROW()))," * "&amp;INDIRECT("F"&amp;ROW())))&amp;IF(INDIRECT("G"&amp;ROW())=""," "," * "&amp;INDIRECT("G"&amp;ROW()))</f>
        <v>10 * 178.1 </v>
      </c>
      <c r="E47" s="16">
        <v>10</v>
      </c>
      <c r="F47" s="16" t="str">
        <f ca="1">IF(INDIRECT("J"&amp;ROW())="текущие цены",IF(INDIRECT("G"&amp;ROW())="","0","0"),IF(INDIRECT("G"&amp;ROW())="","178.1","178.1"))</f>
        <v>178.1</v>
      </c>
      <c r="G47" s="16"/>
      <c r="H47" s="16"/>
      <c r="I47" s="16"/>
      <c r="J47" s="16" t="s">
        <v>7</v>
      </c>
      <c r="K47" s="16"/>
      <c r="L47" s="17">
        <f ca="1">IF(INDIRECT("J"&amp;ROW())="текущие цены",0/1000,1781/1000)</f>
        <v>1.781</v>
      </c>
      <c r="M47" s="8"/>
      <c r="N47" s="8"/>
      <c r="O47" s="8"/>
      <c r="P47" s="8"/>
      <c r="Q47" s="8"/>
    </row>
    <row r="48" spans="1:17" ht="60">
      <c r="A48" s="13">
        <v>15</v>
      </c>
      <c r="B48" s="14" t="s">
        <v>33</v>
      </c>
      <c r="C48" s="14" t="s">
        <v>70</v>
      </c>
      <c r="D48" s="15" t="str">
        <f ca="1">IF(INDIRECT("H"&amp;ROW())="",INDIRECT("E"&amp;ROW()),"("&amp;INDIRECT("H"&amp;ROW())&amp;")")&amp;IF(INDIRECT("F"&amp;ROW())="0"," * 0",IF(INDIRECT("F"&amp;ROW())="",IF(INDIRECT("I"&amp;ROW())=""," "," * "&amp;INDIRECT("I"&amp;ROW()))," * "&amp;INDIRECT("F"&amp;ROW())))&amp;IF(INDIRECT("G"&amp;ROW())=""," "," * "&amp;INDIRECT("G"&amp;ROW()))</f>
        <v>10 * 13.7 </v>
      </c>
      <c r="E48" s="16">
        <v>10</v>
      </c>
      <c r="F48" s="16" t="str">
        <f ca="1">IF(INDIRECT("J"&amp;ROW())="текущие цены",IF(INDIRECT("G"&amp;ROW())="","0","0"),IF(INDIRECT("G"&amp;ROW())="","13.7","13.7"))</f>
        <v>13.7</v>
      </c>
      <c r="G48" s="16"/>
      <c r="H48" s="16"/>
      <c r="I48" s="16"/>
      <c r="J48" s="16" t="s">
        <v>7</v>
      </c>
      <c r="K48" s="16"/>
      <c r="L48" s="17">
        <f ca="1">IF(INDIRECT("J"&amp;ROW())="текущие цены",0/1000,137/1000)</f>
        <v>0.137</v>
      </c>
      <c r="M48" s="8"/>
      <c r="N48" s="8"/>
      <c r="O48" s="8"/>
      <c r="P48" s="8"/>
      <c r="Q48" s="8"/>
    </row>
    <row r="49" spans="1:17" ht="45">
      <c r="A49" s="13">
        <v>16</v>
      </c>
      <c r="B49" s="14" t="s">
        <v>34</v>
      </c>
      <c r="C49" s="14" t="s">
        <v>71</v>
      </c>
      <c r="D49" s="15" t="str">
        <f ca="1">IF(INDIRECT("H"&amp;ROW())="",INDIRECT("E"&amp;ROW()),"("&amp;INDIRECT("H"&amp;ROW())&amp;")")&amp;IF(INDIRECT("F"&amp;ROW())="0"," * 0",IF(INDIRECT("F"&amp;ROW())="",IF(INDIRECT("I"&amp;ROW())=""," "," * "&amp;INDIRECT("I"&amp;ROW()))," * "&amp;INDIRECT("F"&amp;ROW())))&amp;IF(INDIRECT("G"&amp;ROW())=""," "," * "&amp;INDIRECT("G"&amp;ROW()))</f>
        <v>2 * 45.7 </v>
      </c>
      <c r="E49" s="16">
        <v>2</v>
      </c>
      <c r="F49" s="16" t="str">
        <f ca="1">IF(INDIRECT("J"&amp;ROW())="текущие цены",IF(INDIRECT("G"&amp;ROW())="","0","0"),IF(INDIRECT("G"&amp;ROW())="","45.7","45.7"))</f>
        <v>45.7</v>
      </c>
      <c r="G49" s="16"/>
      <c r="H49" s="16"/>
      <c r="I49" s="16"/>
      <c r="J49" s="16" t="s">
        <v>7</v>
      </c>
      <c r="K49" s="16"/>
      <c r="L49" s="17">
        <f ca="1">IF(INDIRECT("J"&amp;ROW())="текущие цены",0/1000,91.4/1000)</f>
        <v>0.09140000000000001</v>
      </c>
      <c r="M49" s="8"/>
      <c r="N49" s="8"/>
      <c r="O49" s="8"/>
      <c r="P49" s="8"/>
      <c r="Q49" s="8"/>
    </row>
    <row r="50" spans="1:17" ht="15">
      <c r="A50" s="43" t="s">
        <v>35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8"/>
      <c r="N50" s="8"/>
      <c r="O50" s="8"/>
      <c r="P50" s="8"/>
      <c r="Q50" s="8"/>
    </row>
    <row r="51" spans="1:17" ht="45">
      <c r="A51" s="13">
        <v>17</v>
      </c>
      <c r="B51" s="14" t="s">
        <v>36</v>
      </c>
      <c r="C51" s="14" t="s">
        <v>72</v>
      </c>
      <c r="D51" s="15" t="str">
        <f ca="1">IF(INDIRECT("H"&amp;ROW())="",INDIRECT("E"&amp;ROW()),"("&amp;INDIRECT("H"&amp;ROW())&amp;")")&amp;IF(INDIRECT("F"&amp;ROW())="0"," * 0",IF(INDIRECT("F"&amp;ROW())="",IF(INDIRECT("I"&amp;ROW())=""," "," * "&amp;INDIRECT("I"&amp;ROW()))," * "&amp;INDIRECT("F"&amp;ROW())))&amp;IF(INDIRECT("G"&amp;ROW())=""," "," * "&amp;INDIRECT("G"&amp;ROW()))</f>
        <v>15 * 8.2 </v>
      </c>
      <c r="E51" s="16">
        <v>15</v>
      </c>
      <c r="F51" s="16" t="str">
        <f ca="1">IF(INDIRECT("J"&amp;ROW())="текущие цены",IF(INDIRECT("G"&amp;ROW())="","0","0"),IF(INDIRECT("G"&amp;ROW())="","8.2","8.2"))</f>
        <v>8.2</v>
      </c>
      <c r="G51" s="16"/>
      <c r="H51" s="16"/>
      <c r="I51" s="16"/>
      <c r="J51" s="16" t="s">
        <v>7</v>
      </c>
      <c r="K51" s="16"/>
      <c r="L51" s="17">
        <f ca="1">IF(INDIRECT("J"&amp;ROW())="текущие цены",0/1000,123/1000)</f>
        <v>0.123</v>
      </c>
      <c r="M51" s="8"/>
      <c r="N51" s="8"/>
      <c r="O51" s="8"/>
      <c r="P51" s="8"/>
      <c r="Q51" s="8"/>
    </row>
    <row r="52" spans="1:17" ht="75">
      <c r="A52" s="18">
        <v>18</v>
      </c>
      <c r="B52" s="19" t="s">
        <v>37</v>
      </c>
      <c r="C52" s="19" t="s">
        <v>73</v>
      </c>
      <c r="D52" s="20" t="str">
        <f ca="1">IF(INDIRECT("H"&amp;ROW())="",INDIRECT("E"&amp;ROW()),"("&amp;INDIRECT("H"&amp;ROW())&amp;")")&amp;IF(INDIRECT("F"&amp;ROW())="0"," * 0",IF(INDIRECT("F"&amp;ROW())="",IF(INDIRECT("I"&amp;ROW())=""," "," * "&amp;INDIRECT("I"&amp;ROW()))," * "&amp;INDIRECT("F"&amp;ROW())))&amp;IF(INDIRECT("G"&amp;ROW())=""," "," * "&amp;INDIRECT("G"&amp;ROW()))</f>
        <v>1 * 401.88 </v>
      </c>
      <c r="E52" s="21">
        <v>1</v>
      </c>
      <c r="F52" s="21" t="str">
        <f ca="1">IF(INDIRECT("J"&amp;ROW())="текущие цены",IF(INDIRECT("G"&amp;ROW())="","0","0"),IF(INDIRECT("G"&amp;ROW())="","401.88","401.88"))</f>
        <v>401.88</v>
      </c>
      <c r="G52" s="21"/>
      <c r="H52" s="21"/>
      <c r="I52" s="21"/>
      <c r="J52" s="21" t="s">
        <v>7</v>
      </c>
      <c r="K52" s="21"/>
      <c r="L52" s="22">
        <f ca="1">IF(INDIRECT("J"&amp;ROW())="текущие цены",0/1000,401.88/1000)</f>
        <v>0.40188</v>
      </c>
      <c r="M52" s="8"/>
      <c r="N52" s="8"/>
      <c r="O52" s="8"/>
      <c r="P52" s="8"/>
      <c r="Q52" s="8"/>
    </row>
    <row r="53" spans="1:17" ht="15">
      <c r="A53" s="36" t="s">
        <v>77</v>
      </c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17">
        <f>3249.28/1000</f>
        <v>3.24928</v>
      </c>
      <c r="M53" s="8"/>
      <c r="N53" s="8"/>
      <c r="O53" s="8"/>
      <c r="P53" s="8"/>
      <c r="Q53" s="8"/>
    </row>
    <row r="54" spans="1:17" ht="21" customHeight="1">
      <c r="A54" s="50" t="s">
        <v>38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17"/>
      <c r="M54" s="8"/>
      <c r="N54" s="8"/>
      <c r="O54" s="8"/>
      <c r="P54" s="8"/>
      <c r="Q54" s="8"/>
    </row>
    <row r="55" spans="1:17" ht="15">
      <c r="A55" s="36" t="s">
        <v>39</v>
      </c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17">
        <f>3249.28/1000</f>
        <v>3.24928</v>
      </c>
      <c r="M55" s="8"/>
      <c r="N55" s="8"/>
      <c r="O55" s="8"/>
      <c r="P55" s="8"/>
      <c r="Q55" s="8"/>
    </row>
    <row r="56" spans="1:17" ht="15">
      <c r="A56" s="36" t="s">
        <v>16</v>
      </c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17">
        <f>3249.28/1000</f>
        <v>3.24928</v>
      </c>
      <c r="M56" s="8"/>
      <c r="N56" s="8"/>
      <c r="O56" s="8"/>
      <c r="P56" s="8"/>
      <c r="Q56" s="8"/>
    </row>
    <row r="57" spans="1:17" ht="15">
      <c r="A57" s="36" t="s">
        <v>55</v>
      </c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17">
        <f>139426.6/1000</f>
        <v>139.4266</v>
      </c>
      <c r="M57" s="8"/>
      <c r="N57" s="8"/>
      <c r="O57" s="8"/>
      <c r="P57" s="8"/>
      <c r="Q57" s="8"/>
    </row>
    <row r="58" spans="1:17" ht="21" customHeight="1">
      <c r="A58" s="41" t="s">
        <v>40</v>
      </c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22">
        <f>139426.6/1000</f>
        <v>139.4266</v>
      </c>
      <c r="M58" s="8"/>
      <c r="N58" s="8"/>
      <c r="O58" s="8"/>
      <c r="P58" s="8"/>
      <c r="Q58" s="8"/>
    </row>
    <row r="59" spans="1:17" ht="15">
      <c r="A59" s="45" t="s">
        <v>78</v>
      </c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23">
        <f>1099839.66/1000</f>
        <v>1099.8396599999999</v>
      </c>
      <c r="M59" s="8"/>
      <c r="N59" s="8"/>
      <c r="O59" s="8"/>
      <c r="P59" s="8"/>
      <c r="Q59" s="8"/>
    </row>
    <row r="60" spans="1:17" ht="15.75">
      <c r="A60" s="46" t="s">
        <v>41</v>
      </c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23"/>
      <c r="M60" s="8"/>
      <c r="N60" s="8"/>
      <c r="O60" s="8"/>
      <c r="P60" s="8"/>
      <c r="Q60" s="8"/>
    </row>
    <row r="61" spans="1:17" ht="15">
      <c r="A61" s="45" t="s">
        <v>74</v>
      </c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23">
        <f>4036616.82/1000</f>
        <v>4036.6168199999997</v>
      </c>
      <c r="M61" s="8"/>
      <c r="N61" s="8"/>
      <c r="O61" s="8"/>
      <c r="P61" s="8"/>
      <c r="Q61" s="8"/>
    </row>
    <row r="62" spans="1:17" ht="15">
      <c r="A62" s="45" t="s">
        <v>75</v>
      </c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23">
        <f>54528.55/1000</f>
        <v>54.52855</v>
      </c>
      <c r="M62" s="8"/>
      <c r="N62" s="8"/>
      <c r="O62" s="8"/>
      <c r="P62" s="8"/>
      <c r="Q62" s="8"/>
    </row>
    <row r="63" spans="1:17" ht="15">
      <c r="A63" s="45" t="s">
        <v>76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23">
        <f>139426.6/1000</f>
        <v>139.4266</v>
      </c>
      <c r="M63" s="8"/>
      <c r="N63" s="8"/>
      <c r="O63" s="8"/>
      <c r="P63" s="8"/>
      <c r="Q63" s="8"/>
    </row>
    <row r="64" spans="1:17" ht="15">
      <c r="A64" s="45" t="s">
        <v>16</v>
      </c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23">
        <f>4230571.97/1000</f>
        <v>4230.57197</v>
      </c>
      <c r="M64" s="8"/>
      <c r="N64" s="8"/>
      <c r="O64" s="8"/>
      <c r="P64" s="8"/>
      <c r="Q64" s="8"/>
    </row>
    <row r="65" spans="1:17" ht="31.5" customHeight="1">
      <c r="A65" s="45" t="s">
        <v>42</v>
      </c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23">
        <f>761502.95/1000</f>
        <v>761.5029499999999</v>
      </c>
      <c r="M65" s="8"/>
      <c r="N65" s="8"/>
      <c r="O65" s="8"/>
      <c r="P65" s="8"/>
      <c r="Q65" s="8"/>
    </row>
    <row r="66" spans="1:17" ht="15.75">
      <c r="A66" s="46" t="s">
        <v>43</v>
      </c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23">
        <f>4992074.92/1000</f>
        <v>4992.07492</v>
      </c>
      <c r="M66" s="8"/>
      <c r="N66" s="8"/>
      <c r="O66" s="8"/>
      <c r="P66" s="8"/>
      <c r="Q66" s="8"/>
    </row>
    <row r="67" spans="1:12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2:12" ht="15">
      <c r="B68" s="3"/>
      <c r="C68" s="10"/>
      <c r="D68" s="3"/>
      <c r="E68" s="3"/>
      <c r="F68" s="3"/>
      <c r="G68" s="3"/>
      <c r="H68" s="3"/>
      <c r="I68" s="3"/>
      <c r="J68" s="3"/>
      <c r="K68" s="3"/>
      <c r="L68" s="3"/>
    </row>
    <row r="69" spans="1:17" s="26" customFormat="1" ht="15">
      <c r="A69" s="38" t="s">
        <v>83</v>
      </c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27"/>
      <c r="O69" s="27"/>
      <c r="P69" s="27"/>
      <c r="Q69" s="27"/>
    </row>
    <row r="70" spans="1:17" s="26" customFormat="1" ht="15">
      <c r="A70" s="40" t="s">
        <v>84</v>
      </c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27"/>
      <c r="O70" s="27"/>
      <c r="P70" s="27"/>
      <c r="Q70" s="27"/>
    </row>
    <row r="71" spans="2:12" ht="31.5" customHeight="1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2:12" ht="31.5" customHeight="1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2:12" ht="31.5" customHeight="1">
      <c r="B73" s="3"/>
      <c r="C73" s="10"/>
      <c r="D73" s="3"/>
      <c r="E73" s="3"/>
      <c r="F73" s="3"/>
      <c r="G73" s="3"/>
      <c r="H73" s="3"/>
      <c r="I73" s="3"/>
      <c r="J73" s="3"/>
      <c r="K73" s="3"/>
      <c r="L73" s="3"/>
    </row>
    <row r="74" ht="15"/>
    <row r="75" spans="1:12" ht="15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</row>
  </sheetData>
  <sheetProtection/>
  <mergeCells count="41">
    <mergeCell ref="A63:K63"/>
    <mergeCell ref="A53:K53"/>
    <mergeCell ref="A54:K54"/>
    <mergeCell ref="A55:K55"/>
    <mergeCell ref="A58:K58"/>
    <mergeCell ref="A59:K59"/>
    <mergeCell ref="A60:K60"/>
    <mergeCell ref="A61:K61"/>
    <mergeCell ref="A62:K62"/>
    <mergeCell ref="C3:L3"/>
    <mergeCell ref="A11:L11"/>
    <mergeCell ref="B13:L13"/>
    <mergeCell ref="A40:K40"/>
    <mergeCell ref="A25:K25"/>
    <mergeCell ref="A26:K26"/>
    <mergeCell ref="A27:K27"/>
    <mergeCell ref="A28:K28"/>
    <mergeCell ref="A29:K29"/>
    <mergeCell ref="A30:L30"/>
    <mergeCell ref="A36:K36"/>
    <mergeCell ref="A37:K37"/>
    <mergeCell ref="A38:K38"/>
    <mergeCell ref="A39:K39"/>
    <mergeCell ref="D4:L4"/>
    <mergeCell ref="D5:L5"/>
    <mergeCell ref="A75:L75"/>
    <mergeCell ref="A10:L10"/>
    <mergeCell ref="A17:L17"/>
    <mergeCell ref="A24:K24"/>
    <mergeCell ref="A69:M69"/>
    <mergeCell ref="A70:M70"/>
    <mergeCell ref="A56:K56"/>
    <mergeCell ref="A57:K57"/>
    <mergeCell ref="A41:K41"/>
    <mergeCell ref="A42:L42"/>
    <mergeCell ref="A43:L43"/>
    <mergeCell ref="A46:L46"/>
    <mergeCell ref="A50:L50"/>
    <mergeCell ref="A64:K64"/>
    <mergeCell ref="A65:K65"/>
    <mergeCell ref="A66:K66"/>
  </mergeCells>
  <printOptions/>
  <pageMargins left="0.7874015748031497" right="0.3937007874015748" top="0.3937007874015748" bottom="0.3937007874015748" header="0.2362204724409449" footer="0.2362204724409449"/>
  <pageSetup fitToHeight="30000" fitToWidth="1" horizontalDpi="600" verticalDpi="600" orientation="portrait" paperSize="9" scale="66" r:id="rId3"/>
  <headerFooter alignWithMargins="0">
    <oddHeader>&amp;LГРАНД-Смета</oddHeader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YuKazaeva</dc:creator>
  <cp:keywords/>
  <dc:description>27.04.2009</dc:description>
  <cp:lastModifiedBy>e.plahova</cp:lastModifiedBy>
  <cp:lastPrinted>2015-11-18T13:52:13Z</cp:lastPrinted>
  <dcterms:created xsi:type="dcterms:W3CDTF">2007-02-21T08:42:24Z</dcterms:created>
  <dcterms:modified xsi:type="dcterms:W3CDTF">2015-11-25T08:42:00Z</dcterms:modified>
  <cp:category/>
  <cp:version/>
  <cp:contentType/>
  <cp:contentStatus/>
</cp:coreProperties>
</file>