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данные'!$14:$14</definedName>
    <definedName name="_xlnm.Print_Area" localSheetId="0">'Мои данные'!$A$1:$L$51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расчета&gt;</t>
        </r>
      </text>
    </comment>
    <comment ref="C50" authorId="1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0" authorId="0">
      <text>
        <r>
          <rPr>
            <sz val="8"/>
            <rFont val="Tahoma"/>
            <family val="2"/>
          </rPr>
          <t xml:space="preserve"> &lt;Наименование стройки&gt;, &lt;Наименование объекта&gt;, &lt;Наименование сметы&gt;</t>
        </r>
      </text>
    </comment>
    <comment ref="A14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4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4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C47" authorId="0">
      <text>
        <r>
          <rPr>
            <sz val="8"/>
            <rFont val="Tahoma"/>
            <family val="2"/>
          </rPr>
          <t xml:space="preserve"> &lt;Проверил&gt;</t>
        </r>
      </text>
    </comment>
    <comment ref="A37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37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4" authorId="0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14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4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4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14" authorId="1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4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4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4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52" authorId="1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4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</commentList>
</comments>
</file>

<file path=xl/sharedStrings.xml><?xml version="1.0" encoding="utf-8"?>
<sst xmlns="http://schemas.openxmlformats.org/spreadsheetml/2006/main" count="82" uniqueCount="67">
  <si>
    <t>№ пп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</si>
  <si>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</si>
  <si>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</si>
  <si>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</si>
  <si>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>Стоимость работ</t>
  </si>
  <si>
    <t>тыс.руб</t>
  </si>
  <si>
    <t>Канализация (бытовая, дождевая, общесплавная), сооружаемая открытым способом, диаметр до 300 мм, протяженность от 100 до 500 м</t>
  </si>
  <si>
    <t>цены 2001</t>
  </si>
  <si>
    <t>(ПЗ=0,5 (ОЗП=0,5; ЭМ=0,5 к расх.; ЗПМ=0,5; МАТ=0,5 к расх.; ТЗ=0,5; ТЗМ=0,5))</t>
  </si>
  <si>
    <t>0,15*0,5</t>
  </si>
  <si>
    <t>(при параллельной прокладке ПЗ=0,15 (ОЗП=0,15; ЭМ=0,15 к расх.; ЗПМ=0,15; МАТ=0,15 к расх.; ТЗ=0,15; ТЗМ=0,15);
 ПЗ=0,5 (ОЗП=0,5; ЭМ=0,5 к расх.; ЗПМ=0,5; МАТ=0,5 к расх.; ТЗ=0,5; ТЗМ=0,5))</t>
  </si>
  <si>
    <t>Инженерно-геодезические изыскания трасс магистральных трубопроводов: 2 категории сложности - полевые работы</t>
  </si>
  <si>
    <t>1,75*1,005</t>
  </si>
  <si>
    <t>25/1000</t>
  </si>
  <si>
    <t>(ОУ п.15еПри выполнении картографических работ на магнитном и бумажном носителях ПЗ=1,75;
СБЦ-2004-80-7.Регистрация инженерно-геодезических изысканий ПЗ=1,005)</t>
  </si>
  <si>
    <t>Инженерно-геодезические изыскания трасс магистральных трубопроводов: 2 категории сложности - камеральные работы</t>
  </si>
  <si>
    <t>1,2*1,06*1,15</t>
  </si>
  <si>
    <t>(ОУ п.15дПри выполнении камеральных и картографических работ с применением компьютерных технологий ПЗ=1,2;
УБЦ2 п.13 ОУ.Расходы на организацию и ликвидацию инженерно-геодезических работ ПЗ=1,06;
УБЦ2 п.14 ОУ.При выполнении камеральной обработки материалов изысканий в экспедициооных условиях с выплатой работникам полевого довольствия ПЗ=1,15)</t>
  </si>
  <si>
    <t>Наблюдения при передвижении по маршруту при составлении инженерно-геологической,гидрогеологической, почвенной, инженерно-экологической карты в масштабе 1:50000: проходимость хорошая, полевые работы</t>
  </si>
  <si>
    <t>Наблюдения при передвижении по маршруту при составлении инженерно-геологической,гидрогеологической, почвенной, инженерно-экологической карты в масштабе 1:50000: проходимость хорошая, камеральные работы</t>
  </si>
  <si>
    <t>Колонковое бурение скважины диаметром до 160мм, глубиной до 15м: категория породы 1</t>
  </si>
  <si>
    <t>Динамическое зондирование грунтов с количеством ударов молота на 10см погружения зонда до 6: глубина зондирования св. 10 до 15м</t>
  </si>
  <si>
    <t>Статическое зондирование грунтов непрерывным вдавливанием зонда со скоростью не более 1м/мин.: глубина зондирования св. 10 до 15м</t>
  </si>
  <si>
    <t>Отбор валовых проб из массива в подземных выработках</t>
  </si>
  <si>
    <t>Полный комплекс физико-механических свойств глинистого грунта нарушенной структуры с заданной влажностью и плотностью сухого грунта, с определением сопротивления грунта срезу (консолидированный срез) и компрессионными испытаниями с нагрузкой до 0,6МПа</t>
  </si>
  <si>
    <t>Сокращенный анализ водной вытяжки (для почв)</t>
  </si>
  <si>
    <t>Краткий анализ грунтов (для стройматериалов)</t>
  </si>
  <si>
    <t>Итоги по смете:</t>
  </si>
  <si>
    <t xml:space="preserve">  Итого</t>
  </si>
  <si>
    <t xml:space="preserve">  НДС 18%</t>
  </si>
  <si>
    <t xml:space="preserve">  ВСЕГО по смете</t>
  </si>
  <si>
    <t>(33000*1+128*25)*0,5</t>
  </si>
  <si>
    <t>(33000*1+128*25)*0,15*0,5</t>
  </si>
  <si>
    <r>
      <t xml:space="preserve">СБЦ65-7-1
</t>
    </r>
    <r>
      <rPr>
        <i/>
        <sz val="11"/>
        <rFont val="Arial"/>
        <family val="2"/>
      </rPr>
      <t xml:space="preserve"> Городские инж. сооружения и коммуникации (2008г.)
(при параллельной прокладке ПЗ=0,15 (ОЗП=0,15; ЭМ=0,15 к расх.; ЗПМ=0,15; МАТ=0,15 к расх.; ТЗ=0,15; ТЗМ=0,15);
 ПЗ=0,5 (ОЗП=0,5; ЭМ=0,5 к расх.; ЗПМ=0,5; МАТ=0,5 к расх.; ТЗ=0,5; ТЗМ=0,5))</t>
    </r>
  </si>
  <si>
    <r>
      <t xml:space="preserve">УБЦ2-13-1-2-1
</t>
    </r>
    <r>
      <rPr>
        <i/>
        <sz val="11"/>
        <rFont val="Arial"/>
        <family val="2"/>
      </rPr>
      <t>"Инж.-геодез. изыск.(2004 г.)"
(ОУ п.15еПри выполнении картографических работ на магнитном и бумажном носителях ПЗ=1,75;
СБЦ-2004-80-7.Регистрация инженерно-геодезических изысканий ПЗ=1,005)</t>
    </r>
  </si>
  <si>
    <r>
      <t xml:space="preserve">УБЦ2-13-1-2-2
</t>
    </r>
    <r>
      <rPr>
        <i/>
        <sz val="11"/>
        <rFont val="Arial"/>
        <family val="2"/>
      </rPr>
      <t>"Инж.-геодез. изыск.(2004 г.)"
(ОУ п.15дПри выполнении камеральных и картографических работ с применением компьютерных технологий ПЗ=1,2;
УБЦ2 п.13 ОУ.Расходы на организацию и ликвидацию инженерно-геодезических работ ПЗ=1,06;
УБЦ2 п.14 ОУ.При выполнении камеральной обработки материалов изысканий в экспедициооных условиях с выплатой работникам полевого довольствия ПЗ=1,15)</t>
    </r>
  </si>
  <si>
    <r>
      <t xml:space="preserve">СБЦИ3-10-1-1-1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</si>
  <si>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СБЦИ3-10-1-1-2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</si>
  <si>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СБЦИ3-17-1-1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</si>
  <si>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СБЦИ3-45-1-2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</si>
  <si>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СБЦИ3-45-5-2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</si>
  <si>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СБЦИ3-59-2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</si>
  <si>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СБЦИ3-63-28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</si>
  <si>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СБЦИ3-71-3
</t>
    </r>
    <r>
      <rPr>
        <i/>
        <sz val="11"/>
        <rFont val="Arial"/>
        <family val="2"/>
      </rPr>
      <t>"Инж.-геологические и инж.-экологич. изыскания (1999 г.)"</t>
    </r>
  </si>
  <si>
    <r>
      <t xml:space="preserve">СБЦИ3-71-12
</t>
    </r>
    <r>
      <rPr>
        <i/>
        <sz val="11"/>
        <rFont val="Arial"/>
        <family val="2"/>
      </rPr>
      <t>"Инж.-геологические и инж.-экологич. изыскания (1999 г.)"</t>
    </r>
  </si>
  <si>
    <t xml:space="preserve">  Итого Перевод в текущие цены на 1 квартал 2016 г.Письмо Минстроя №4688-ХМ от 19.02.2016 г. 3,92</t>
  </si>
  <si>
    <t xml:space="preserve">  Итого Перевод в текущие цены на 1 квартал 2016 г.Письмо Минстроя №4688-ХМ от 19.02.2016 г. 3,93</t>
  </si>
  <si>
    <t xml:space="preserve">  Итого Перевод в текущие цены на 1 квартал 2016 г.Письмо Минстроя №4688-ХМ от 19.02.2016 г. 44,5</t>
  </si>
  <si>
    <t>Итого затраты по разделу</t>
  </si>
  <si>
    <t>Итого затраты по смете</t>
  </si>
  <si>
    <r>
      <t xml:space="preserve">СБЦ65-7-1
</t>
    </r>
    <r>
      <rPr>
        <i/>
        <sz val="11"/>
        <rFont val="Arial"/>
        <family val="2"/>
      </rPr>
      <t xml:space="preserve"> Городские инж. сооружения и коммуникации (2008г.)
(ПЗ=0,5 (ОЗП=0,5; ЭМ=0,5 к расх.; ЗПМ=0,5; МАТ=0,5 к расх.; ТЗ=0,5; ТЗМ=0,5))</t>
    </r>
  </si>
  <si>
    <t>УТВЕРЖДАЮ:</t>
  </si>
  <si>
    <t>Составил: ___________________________Е.А. Миронова</t>
  </si>
  <si>
    <t>(должность, подпись, расшифровка)</t>
  </si>
  <si>
    <t xml:space="preserve">                            Проектные работы</t>
  </si>
  <si>
    <t xml:space="preserve">                            Инженерно-геодезические изыскания</t>
  </si>
  <si>
    <t xml:space="preserve">                            Инженерно-геологические и инженерно-экологические изыскания</t>
  </si>
  <si>
    <t>Итого по разделу 2 Инженерно-геодезические изыскания</t>
  </si>
  <si>
    <t>Итого по разделу 1 Проектные работы</t>
  </si>
  <si>
    <t>Итого по разделу 3 Инженерно-геологические и инженерно-экологические изыскания</t>
  </si>
  <si>
    <t>Выполнение проектно-изыскательских работ по объекту: «Сети водоотведения для подключения тренировочной площадки, расположенной по адресу: г. Калуга, ул. Грабцевское шоссе»</t>
  </si>
  <si>
    <t xml:space="preserve">СМЕТА </t>
  </si>
  <si>
    <t>на проектно-изыскательские  работы</t>
  </si>
  <si>
    <t>Приложение № 1 к закупочной документации</t>
  </si>
  <si>
    <t xml:space="preserve">И.о.       генерального директора </t>
  </si>
  <si>
    <t>ГП "Калугаоблводоканал"</t>
  </si>
  <si>
    <t>______________Грошев А.В.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</si>
</sst>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40" fillId="27" borderId="3" applyNumberFormat="0" applyAlignment="0" applyProtection="0"/>
    <xf numFmtId="0" fontId="4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3" fillId="32" borderId="0" applyNumberFormat="0" applyBorder="0" applyAlignment="0" applyProtection="0"/>
    <xf numFmtId="0" fontId="5" fillId="0" borderId="0">
      <alignment/>
      <protection/>
    </xf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132" applyFont="1" applyBorder="1">
      <alignment horizontal="center"/>
      <protection/>
    </xf>
    <xf numFmtId="0" fontId="7" fillId="0" borderId="0" xfId="132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135" applyFont="1">
      <alignment horizontal="left" vertical="top"/>
      <protection/>
    </xf>
    <xf numFmtId="0" fontId="7" fillId="0" borderId="0" xfId="132" applyFont="1" applyBorder="1" applyAlignment="1">
      <alignment horizontal="left" vertical="top" wrapText="1"/>
      <protection/>
    </xf>
    <xf numFmtId="0" fontId="7" fillId="0" borderId="11" xfId="9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7" fillId="0" borderId="1" xfId="59" applyNumberFormat="1" applyFont="1" applyBorder="1" applyAlignment="1">
      <alignment horizontal="right" vertical="top" wrapText="1"/>
      <protection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right" vertical="top"/>
    </xf>
    <xf numFmtId="0" fontId="7" fillId="0" borderId="0" xfId="132" applyFont="1" applyBorder="1" applyAlignment="1">
      <alignment vertical="top" wrapText="1"/>
      <protection/>
    </xf>
    <xf numFmtId="0" fontId="10" fillId="0" borderId="0" xfId="132" applyFont="1" applyBorder="1" applyAlignment="1">
      <alignment horizontal="left" vertical="top" wrapText="1"/>
      <protection/>
    </xf>
    <xf numFmtId="0" fontId="9" fillId="0" borderId="0" xfId="132" applyFo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132" applyFont="1" applyBorder="1" applyAlignment="1">
      <alignment horizontal="center" vertical="top" wrapText="1"/>
      <protection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7" fillId="0" borderId="1" xfId="59" applyFont="1" applyBorder="1" applyAlignment="1">
      <alignment horizontal="left" vertical="top" wrapText="1"/>
      <protection/>
    </xf>
    <xf numFmtId="0" fontId="8" fillId="0" borderId="1" xfId="59" applyFont="1" applyBorder="1" applyAlignment="1">
      <alignment horizontal="left" vertical="top" wrapText="1"/>
      <protection/>
    </xf>
    <xf numFmtId="0" fontId="11" fillId="0" borderId="1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5" fillId="0" borderId="0" xfId="132" applyFont="1" applyBorder="1" applyAlignment="1">
      <alignment horizontal="right" vertical="top" wrapText="1"/>
      <protection/>
    </xf>
    <xf numFmtId="0" fontId="15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center" vertical="top"/>
    </xf>
  </cellXfs>
  <cellStyles count="12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тМТСН 2" xfId="35"/>
    <cellStyle name="АктМТСН 3" xfId="36"/>
    <cellStyle name="АктМТСН 4" xfId="37"/>
    <cellStyle name="АктМТСН 5" xfId="38"/>
    <cellStyle name="АктМТСН 6" xfId="39"/>
    <cellStyle name="АктМТСН 7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едРесурсов" xfId="48"/>
    <cellStyle name="ВедРесурсовАкт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Итоги" xfId="59"/>
    <cellStyle name="ИтогоАктБазЦ" xfId="60"/>
    <cellStyle name="ИтогоАктБИМ" xfId="61"/>
    <cellStyle name="ИтогоАктБИМ 2" xfId="62"/>
    <cellStyle name="ИтогоАктБИМ 3" xfId="63"/>
    <cellStyle name="ИтогоАктБИМ 4" xfId="64"/>
    <cellStyle name="ИтогоАктБИМ 5" xfId="65"/>
    <cellStyle name="ИтогоАктБИМ 6" xfId="66"/>
    <cellStyle name="ИтогоАктБИМ 7" xfId="67"/>
    <cellStyle name="ИтогоАктРесМет" xfId="68"/>
    <cellStyle name="ИтогоАктРесМет 2" xfId="69"/>
    <cellStyle name="ИтогоАктРесМет 3" xfId="70"/>
    <cellStyle name="ИтогоАктРесМет 4" xfId="71"/>
    <cellStyle name="ИтогоАктРесМет 5" xfId="72"/>
    <cellStyle name="ИтогоАктРесМет 6" xfId="73"/>
    <cellStyle name="ИтогоАктРесМет 7" xfId="74"/>
    <cellStyle name="ИтогоБазЦ" xfId="75"/>
    <cellStyle name="ИтогоБИМ" xfId="76"/>
    <cellStyle name="ИтогоБИМ 2" xfId="77"/>
    <cellStyle name="ИтогоБИМ 3" xfId="78"/>
    <cellStyle name="ИтогоБИМ 4" xfId="79"/>
    <cellStyle name="ИтогоБИМ 5" xfId="80"/>
    <cellStyle name="ИтогоБИМ 6" xfId="81"/>
    <cellStyle name="ИтогоБИМ 7" xfId="82"/>
    <cellStyle name="ИтогоРесМет" xfId="83"/>
    <cellStyle name="ИтогоРесМет 2" xfId="84"/>
    <cellStyle name="ИтогоРесМет 3" xfId="85"/>
    <cellStyle name="ИтогоРесМет 4" xfId="86"/>
    <cellStyle name="ИтогоРесМет 5" xfId="87"/>
    <cellStyle name="ИтогоРесМет 6" xfId="88"/>
    <cellStyle name="ИтогоРесМет 7" xfId="89"/>
    <cellStyle name="Контрольная ячейка" xfId="90"/>
    <cellStyle name="ЛокСмета" xfId="91"/>
    <cellStyle name="ЛокСмМТСН" xfId="92"/>
    <cellStyle name="ЛокСмМТСН 2" xfId="93"/>
    <cellStyle name="ЛокСмМТСН 3" xfId="94"/>
    <cellStyle name="ЛокСмМТСН 4" xfId="95"/>
    <cellStyle name="ЛокСмМТСН 5" xfId="96"/>
    <cellStyle name="ЛокСмМТСН 6" xfId="97"/>
    <cellStyle name="ЛокСмМТСН 7" xfId="98"/>
    <cellStyle name="М29" xfId="99"/>
    <cellStyle name="М29 2" xfId="100"/>
    <cellStyle name="М29 3" xfId="101"/>
    <cellStyle name="М29 4" xfId="102"/>
    <cellStyle name="М29 5" xfId="103"/>
    <cellStyle name="М29 6" xfId="104"/>
    <cellStyle name="М29 7" xfId="105"/>
    <cellStyle name="Название" xfId="106"/>
    <cellStyle name="Нейтральный" xfId="107"/>
    <cellStyle name="ОбСмета" xfId="108"/>
    <cellStyle name="ОбСмета 2" xfId="109"/>
    <cellStyle name="ОбСмета 3" xfId="110"/>
    <cellStyle name="ОбСмета 4" xfId="111"/>
    <cellStyle name="ОбСмета 5" xfId="112"/>
    <cellStyle name="ОбСмета 6" xfId="113"/>
    <cellStyle name="ОбСмета 7" xfId="114"/>
    <cellStyle name="Параметр" xfId="115"/>
    <cellStyle name="ПеременныеСметы" xfId="116"/>
    <cellStyle name="Плохой" xfId="117"/>
    <cellStyle name="Пояснение" xfId="118"/>
    <cellStyle name="Примечание" xfId="119"/>
    <cellStyle name="Percent" xfId="120"/>
    <cellStyle name="РесСмета" xfId="121"/>
    <cellStyle name="СводкаСтоимРаб" xfId="122"/>
    <cellStyle name="СводРасч" xfId="123"/>
    <cellStyle name="СводРасч 2" xfId="124"/>
    <cellStyle name="СводРасч 3" xfId="125"/>
    <cellStyle name="СводРасч 4" xfId="126"/>
    <cellStyle name="СводРасч 5" xfId="127"/>
    <cellStyle name="СводРасч 6" xfId="128"/>
    <cellStyle name="СводРасч 7" xfId="129"/>
    <cellStyle name="Связанная ячейка" xfId="130"/>
    <cellStyle name="Текст предупреждения" xfId="131"/>
    <cellStyle name="Титул" xfId="132"/>
    <cellStyle name="Comma" xfId="133"/>
    <cellStyle name="Comma [0]" xfId="134"/>
    <cellStyle name="Хвост" xfId="135"/>
    <cellStyle name="Хороший" xfId="136"/>
    <cellStyle name="Экспертиза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tabSelected="1" view="pageBreakPreview" zoomScaleSheetLayoutView="100" zoomScalePageLayoutView="0" workbookViewId="0" topLeftCell="A1">
      <selection activeCell="P8" sqref="P8"/>
    </sheetView>
  </sheetViews>
  <sheetFormatPr defaultColWidth="9.00390625" defaultRowHeight="12.75"/>
  <cols>
    <col min="1" max="1" width="9.125" style="1" customWidth="1"/>
    <col min="2" max="2" width="50.375" style="1" customWidth="1"/>
    <col min="3" max="3" width="41.375" style="1" customWidth="1"/>
    <col min="4" max="4" width="21.75390625" style="1" customWidth="1"/>
    <col min="5" max="10" width="22.125" style="1" hidden="1" customWidth="1"/>
    <col min="11" max="11" width="73.75390625" style="1" hidden="1" customWidth="1"/>
    <col min="12" max="12" width="16.00390625" style="1" customWidth="1"/>
    <col min="13" max="15" width="9.125" style="1" customWidth="1"/>
    <col min="16" max="16384" width="9.125" style="1" customWidth="1"/>
  </cols>
  <sheetData>
    <row r="1" spans="1:12" ht="15">
      <c r="A1" s="31"/>
      <c r="B1" s="31"/>
      <c r="C1" s="48" t="s">
        <v>63</v>
      </c>
      <c r="D1" s="48"/>
      <c r="E1" s="48"/>
      <c r="F1" s="48"/>
      <c r="G1" s="48"/>
      <c r="H1" s="48"/>
      <c r="I1" s="48"/>
      <c r="J1" s="48"/>
      <c r="K1" s="48"/>
      <c r="L1" s="48"/>
    </row>
    <row r="2" spans="1:24" ht="15">
      <c r="A2" s="28"/>
      <c r="B2" s="28"/>
      <c r="C2" s="52" t="s">
        <v>51</v>
      </c>
      <c r="D2" s="52"/>
      <c r="E2" s="52"/>
      <c r="F2" s="52"/>
      <c r="G2" s="52"/>
      <c r="H2" s="52"/>
      <c r="I2" s="52"/>
      <c r="J2" s="52"/>
      <c r="K2" s="52"/>
      <c r="L2" s="52"/>
      <c r="M2" s="26"/>
      <c r="N2" s="28"/>
      <c r="O2" s="28"/>
      <c r="P2" s="28"/>
      <c r="Q2" s="28"/>
      <c r="R2" s="28"/>
      <c r="S2" s="28"/>
      <c r="T2" s="28"/>
      <c r="U2" s="28"/>
      <c r="V2" s="28"/>
      <c r="W2" s="28"/>
      <c r="X2" s="27"/>
    </row>
    <row r="3" spans="1:24" ht="15" customHeight="1">
      <c r="A3" s="28"/>
      <c r="B3" s="28"/>
      <c r="C3" s="49" t="s">
        <v>64</v>
      </c>
      <c r="D3" s="49"/>
      <c r="E3" s="49"/>
      <c r="F3" s="49"/>
      <c r="G3" s="49"/>
      <c r="H3" s="49"/>
      <c r="I3" s="49"/>
      <c r="J3" s="49"/>
      <c r="K3" s="49"/>
      <c r="L3" s="49"/>
      <c r="M3" s="25"/>
      <c r="N3" s="28"/>
      <c r="O3" s="28"/>
      <c r="P3" s="28"/>
      <c r="Q3" s="28"/>
      <c r="R3" s="28"/>
      <c r="S3" s="28"/>
      <c r="T3" s="28"/>
      <c r="U3" s="28"/>
      <c r="V3" s="28"/>
      <c r="W3" s="28"/>
      <c r="X3" s="27"/>
    </row>
    <row r="4" spans="1:24" ht="15.75" customHeight="1">
      <c r="A4" s="28"/>
      <c r="B4" s="28"/>
      <c r="C4" s="50" t="s">
        <v>65</v>
      </c>
      <c r="D4" s="50"/>
      <c r="E4" s="50"/>
      <c r="F4" s="50"/>
      <c r="G4" s="50"/>
      <c r="H4" s="50"/>
      <c r="I4" s="50"/>
      <c r="J4" s="50"/>
      <c r="K4" s="50"/>
      <c r="L4" s="50"/>
      <c r="M4" s="25"/>
      <c r="N4" s="28"/>
      <c r="O4" s="28"/>
      <c r="P4" s="28"/>
      <c r="Q4" s="28"/>
      <c r="R4" s="28"/>
      <c r="S4" s="28"/>
      <c r="T4" s="28"/>
      <c r="U4" s="28"/>
      <c r="V4" s="28"/>
      <c r="W4" s="28"/>
      <c r="X4" s="27"/>
    </row>
    <row r="5" spans="1:24" ht="42.75" customHeight="1">
      <c r="A5" s="28"/>
      <c r="B5" s="28"/>
      <c r="C5" s="51" t="s">
        <v>66</v>
      </c>
      <c r="D5" s="51"/>
      <c r="E5" s="51"/>
      <c r="F5" s="51"/>
      <c r="G5" s="51"/>
      <c r="H5" s="51"/>
      <c r="I5" s="51"/>
      <c r="J5" s="51"/>
      <c r="K5" s="51"/>
      <c r="L5" s="51"/>
      <c r="M5" s="24"/>
      <c r="N5" s="28"/>
      <c r="O5" s="28"/>
      <c r="P5" s="28"/>
      <c r="Q5" s="28"/>
      <c r="R5" s="28"/>
      <c r="S5" s="28"/>
      <c r="T5" s="28"/>
      <c r="U5" s="28"/>
      <c r="V5" s="28"/>
      <c r="W5" s="28"/>
      <c r="X5" s="27"/>
    </row>
    <row r="6" spans="1:24" ht="15">
      <c r="A6" s="28"/>
      <c r="B6" s="28"/>
      <c r="D6" s="53"/>
      <c r="E6" s="53"/>
      <c r="F6" s="53"/>
      <c r="G6" s="53"/>
      <c r="H6" s="53"/>
      <c r="I6" s="53"/>
      <c r="J6" s="53"/>
      <c r="K6" s="53"/>
      <c r="L6" s="53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7"/>
    </row>
    <row r="7" spans="1:4" ht="15">
      <c r="A7" s="11"/>
      <c r="B7" s="11"/>
      <c r="C7" s="11"/>
      <c r="D7" s="11"/>
    </row>
    <row r="8" spans="1:12" ht="18">
      <c r="A8" s="33" t="s">
        <v>61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>
      <c r="A9" s="34" t="s">
        <v>62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51.75" customHeight="1">
      <c r="A10" s="35" t="s">
        <v>60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4" t="s">
        <v>5</v>
      </c>
    </row>
    <row r="13" spans="1:12" s="6" customFormat="1" ht="121.5" customHeight="1">
      <c r="A13" s="5" t="s">
        <v>0</v>
      </c>
      <c r="B13" s="5" t="s">
        <v>1</v>
      </c>
      <c r="C13" s="5" t="s">
        <v>2</v>
      </c>
      <c r="D13" s="5" t="s">
        <v>3</v>
      </c>
      <c r="E13" s="5"/>
      <c r="F13" s="5"/>
      <c r="G13" s="5"/>
      <c r="H13" s="5"/>
      <c r="I13" s="5"/>
      <c r="J13" s="5"/>
      <c r="K13" s="5"/>
      <c r="L13" s="5" t="s">
        <v>4</v>
      </c>
    </row>
    <row r="14" spans="1:12" ht="15">
      <c r="A14" s="12">
        <v>1</v>
      </c>
      <c r="B14" s="12">
        <v>2</v>
      </c>
      <c r="C14" s="12">
        <v>3</v>
      </c>
      <c r="D14" s="12">
        <v>4</v>
      </c>
      <c r="E14" s="12"/>
      <c r="F14" s="12"/>
      <c r="G14" s="12"/>
      <c r="H14" s="12"/>
      <c r="I14" s="12"/>
      <c r="J14" s="12"/>
      <c r="K14" s="12"/>
      <c r="L14" s="12">
        <v>5</v>
      </c>
    </row>
    <row r="15" spans="1:12" s="7" customFormat="1" ht="22.5" customHeight="1">
      <c r="A15" s="36" t="s">
        <v>54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7" s="9" customFormat="1" ht="90">
      <c r="A16" s="13">
        <v>1</v>
      </c>
      <c r="B16" s="14" t="s">
        <v>6</v>
      </c>
      <c r="C16" s="14" t="s">
        <v>50</v>
      </c>
      <c r="D16" s="15" t="s">
        <v>31</v>
      </c>
      <c r="E16" s="16">
        <v>1</v>
      </c>
      <c r="F16" s="16" t="str">
        <f ca="1">IF(INDIRECT("J"&amp;ROW())="текущие цены",IF(INDIRECT("G"&amp;ROW())="","0","0"),IF(INDIRECT("G"&amp;ROW())="","16500","33000"))</f>
        <v>33000</v>
      </c>
      <c r="G16" s="16">
        <v>0.5</v>
      </c>
      <c r="H16" s="16"/>
      <c r="I16" s="16"/>
      <c r="J16" s="16" t="s">
        <v>7</v>
      </c>
      <c r="K16" s="16" t="s">
        <v>8</v>
      </c>
      <c r="L16" s="17">
        <v>18.1</v>
      </c>
      <c r="M16" s="7"/>
      <c r="N16" s="7"/>
      <c r="O16" s="7"/>
      <c r="P16" s="7"/>
      <c r="Q16" s="7"/>
    </row>
    <row r="17" spans="1:17" ht="150">
      <c r="A17" s="13">
        <v>2</v>
      </c>
      <c r="B17" s="14" t="s">
        <v>6</v>
      </c>
      <c r="C17" s="14" t="s">
        <v>33</v>
      </c>
      <c r="D17" s="15" t="s">
        <v>32</v>
      </c>
      <c r="E17" s="16">
        <v>1</v>
      </c>
      <c r="F17" s="16" t="str">
        <f ca="1">IF(INDIRECT("J"&amp;ROW())="текущие цены",IF(INDIRECT("G"&amp;ROW())="","0","0"),IF(INDIRECT("G"&amp;ROW())="","2475","33000"))</f>
        <v>33000</v>
      </c>
      <c r="G17" s="16" t="s">
        <v>9</v>
      </c>
      <c r="H17" s="16"/>
      <c r="I17" s="16"/>
      <c r="J17" s="16" t="s">
        <v>7</v>
      </c>
      <c r="K17" s="16" t="s">
        <v>10</v>
      </c>
      <c r="L17" s="17">
        <v>2.715</v>
      </c>
      <c r="M17" s="7"/>
      <c r="N17" s="7"/>
      <c r="O17" s="7"/>
      <c r="P17" s="7"/>
      <c r="Q17" s="7"/>
    </row>
    <row r="18" spans="1:17" ht="15">
      <c r="A18" s="38" t="s">
        <v>48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17">
        <f>20815/1000</f>
        <v>20.815</v>
      </c>
      <c r="M18" s="7"/>
      <c r="N18" s="7"/>
      <c r="O18" s="7"/>
      <c r="P18" s="7"/>
      <c r="Q18" s="7"/>
    </row>
    <row r="19" spans="1:17" ht="15.75">
      <c r="A19" s="46" t="s">
        <v>58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22">
        <f>81595/1000</f>
        <v>81.595</v>
      </c>
      <c r="M19" s="7"/>
      <c r="N19" s="7"/>
      <c r="O19" s="7"/>
      <c r="P19" s="7"/>
      <c r="Q19" s="7"/>
    </row>
    <row r="20" spans="1:17" ht="16.5">
      <c r="A20" s="36" t="s">
        <v>55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7"/>
      <c r="N20" s="7"/>
      <c r="O20" s="7"/>
      <c r="P20" s="7"/>
      <c r="Q20" s="7"/>
    </row>
    <row r="21" spans="1:17" ht="120">
      <c r="A21" s="13">
        <v>3</v>
      </c>
      <c r="B21" s="14" t="s">
        <v>11</v>
      </c>
      <c r="C21" s="14" t="s">
        <v>34</v>
      </c>
      <c r="D21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(25/1000) * 12076 * 1,75*1,005</v>
      </c>
      <c r="E21" s="16">
        <v>0.025</v>
      </c>
      <c r="F21" s="16" t="str">
        <f ca="1">IF(INDIRECT("J"&amp;ROW())="текущие цены",IF(INDIRECT("G"&amp;ROW())="","0","0"),IF(INDIRECT("G"&amp;ROW())="","21238.67","12076"))</f>
        <v>12076</v>
      </c>
      <c r="G21" s="16" t="s">
        <v>12</v>
      </c>
      <c r="H21" s="16" t="s">
        <v>13</v>
      </c>
      <c r="I21" s="16"/>
      <c r="J21" s="16" t="s">
        <v>7</v>
      </c>
      <c r="K21" s="16" t="s">
        <v>14</v>
      </c>
      <c r="L21" s="17">
        <f ca="1">IF(INDIRECT("J"&amp;ROW())="текущие цены",0/1000,531/1000)</f>
        <v>0.531</v>
      </c>
      <c r="M21" s="7"/>
      <c r="N21" s="7"/>
      <c r="O21" s="7"/>
      <c r="P21" s="7"/>
      <c r="Q21" s="7"/>
    </row>
    <row r="22" spans="1:17" ht="210">
      <c r="A22" s="18">
        <v>4</v>
      </c>
      <c r="B22" s="19" t="s">
        <v>15</v>
      </c>
      <c r="C22" s="19" t="s">
        <v>35</v>
      </c>
      <c r="D22" s="20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0,025 * 5327 * 1,2*1,06*1,15</v>
      </c>
      <c r="E22" s="21">
        <v>0.025</v>
      </c>
      <c r="F22" s="21" t="str">
        <f ca="1">IF(INDIRECT("J"&amp;ROW())="текущие цены",IF(INDIRECT("G"&amp;ROW())="","0","0"),IF(INDIRECT("G"&amp;ROW())="","7792.34","5327"))</f>
        <v>5327</v>
      </c>
      <c r="G22" s="21" t="s">
        <v>16</v>
      </c>
      <c r="H22" s="21"/>
      <c r="I22" s="21"/>
      <c r="J22" s="21" t="s">
        <v>7</v>
      </c>
      <c r="K22" s="21" t="s">
        <v>17</v>
      </c>
      <c r="L22" s="22">
        <f ca="1">IF(INDIRECT("J"&amp;ROW())="текущие цены",0/1000,195/1000)</f>
        <v>0.195</v>
      </c>
      <c r="M22" s="7"/>
      <c r="N22" s="7"/>
      <c r="O22" s="7"/>
      <c r="P22" s="7"/>
      <c r="Q22" s="7"/>
    </row>
    <row r="23" spans="1:17" ht="15">
      <c r="A23" s="38" t="s">
        <v>48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17">
        <f>726/1000</f>
        <v>0.726</v>
      </c>
      <c r="M23" s="7"/>
      <c r="N23" s="7"/>
      <c r="O23" s="7"/>
      <c r="P23" s="7"/>
      <c r="Q23" s="7"/>
    </row>
    <row r="24" spans="1:17" ht="15.75">
      <c r="A24" s="46" t="s">
        <v>57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22">
        <f>2853/1000</f>
        <v>2.853</v>
      </c>
      <c r="M24" s="7"/>
      <c r="N24" s="7"/>
      <c r="O24" s="7"/>
      <c r="P24" s="7"/>
      <c r="Q24" s="7"/>
    </row>
    <row r="25" spans="1:17" ht="16.5">
      <c r="A25" s="36" t="s">
        <v>56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7"/>
      <c r="N25" s="7"/>
      <c r="O25" s="7"/>
      <c r="P25" s="7"/>
      <c r="Q25" s="7"/>
    </row>
    <row r="26" spans="1:17" ht="75">
      <c r="A26" s="13">
        <v>5</v>
      </c>
      <c r="B26" s="14" t="s">
        <v>18</v>
      </c>
      <c r="C26" s="14" t="s">
        <v>36</v>
      </c>
      <c r="D26" s="15" t="str">
        <f aca="true" ca="1" t="shared" si="0" ref="D26:D34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 * 12.5 </v>
      </c>
      <c r="E26" s="16"/>
      <c r="F26" s="16" t="str">
        <f ca="1">IF(INDIRECT("J"&amp;ROW())="текущие цены",IF(INDIRECT("G"&amp;ROW())="","0","0"),IF(INDIRECT("G"&amp;ROW())="","12.5","12.5"))</f>
        <v>12.5</v>
      </c>
      <c r="G26" s="16"/>
      <c r="H26" s="16"/>
      <c r="I26" s="16"/>
      <c r="J26" s="16" t="s">
        <v>7</v>
      </c>
      <c r="K26" s="16"/>
      <c r="L26" s="17">
        <f ca="1">IF(INDIRECT("J"&amp;ROW())="текущие цены",0/1000,0/1000)</f>
        <v>0</v>
      </c>
      <c r="M26" s="7"/>
      <c r="N26" s="7"/>
      <c r="O26" s="7"/>
      <c r="P26" s="7"/>
      <c r="Q26" s="7"/>
    </row>
    <row r="27" spans="1:17" ht="75">
      <c r="A27" s="13">
        <v>6</v>
      </c>
      <c r="B27" s="14" t="s">
        <v>19</v>
      </c>
      <c r="C27" s="14" t="s">
        <v>37</v>
      </c>
      <c r="D27" s="15" t="str">
        <f ca="1" t="shared" si="0"/>
        <v> * 1.3 </v>
      </c>
      <c r="E27" s="16"/>
      <c r="F27" s="16" t="str">
        <f ca="1">IF(INDIRECT("J"&amp;ROW())="текущие цены",IF(INDIRECT("G"&amp;ROW())="","0","0"),IF(INDIRECT("G"&amp;ROW())="","1.3","1.3"))</f>
        <v>1.3</v>
      </c>
      <c r="G27" s="16"/>
      <c r="H27" s="16"/>
      <c r="I27" s="16"/>
      <c r="J27" s="16" t="s">
        <v>7</v>
      </c>
      <c r="K27" s="16"/>
      <c r="L27" s="17">
        <f ca="1">IF(INDIRECT("J"&amp;ROW())="текущие цены",0/1000,0/1000)</f>
        <v>0</v>
      </c>
      <c r="M27" s="7"/>
      <c r="N27" s="7"/>
      <c r="O27" s="7"/>
      <c r="P27" s="7"/>
      <c r="Q27" s="7"/>
    </row>
    <row r="28" spans="1:17" ht="45">
      <c r="A28" s="13">
        <v>7</v>
      </c>
      <c r="B28" s="14" t="s">
        <v>20</v>
      </c>
      <c r="C28" s="14" t="s">
        <v>38</v>
      </c>
      <c r="D28" s="15" t="str">
        <f ca="1" t="shared" si="0"/>
        <v> * 36 </v>
      </c>
      <c r="E28" s="16"/>
      <c r="F28" s="16" t="str">
        <f ca="1">IF(INDIRECT("J"&amp;ROW())="текущие цены",IF(INDIRECT("G"&amp;ROW())="","0","0"),IF(INDIRECT("G"&amp;ROW())="","36","36"))</f>
        <v>36</v>
      </c>
      <c r="G28" s="16"/>
      <c r="H28" s="16"/>
      <c r="I28" s="16"/>
      <c r="J28" s="16" t="s">
        <v>7</v>
      </c>
      <c r="K28" s="16"/>
      <c r="L28" s="17">
        <f ca="1">IF(INDIRECT("J"&amp;ROW())="текущие цены",0/1000,0/1000)</f>
        <v>0</v>
      </c>
      <c r="M28" s="7"/>
      <c r="N28" s="7"/>
      <c r="O28" s="7"/>
      <c r="P28" s="7"/>
      <c r="Q28" s="7"/>
    </row>
    <row r="29" spans="1:17" ht="45">
      <c r="A29" s="13">
        <v>8</v>
      </c>
      <c r="B29" s="14" t="s">
        <v>21</v>
      </c>
      <c r="C29" s="14" t="s">
        <v>39</v>
      </c>
      <c r="D29" s="15" t="str">
        <f ca="1" t="shared" si="0"/>
        <v>5 * 87.8 </v>
      </c>
      <c r="E29" s="16">
        <v>5</v>
      </c>
      <c r="F29" s="16" t="str">
        <f ca="1">IF(INDIRECT("J"&amp;ROW())="текущие цены",IF(INDIRECT("G"&amp;ROW())="","0","0"),IF(INDIRECT("G"&amp;ROW())="","87.8","87.8"))</f>
        <v>87.8</v>
      </c>
      <c r="G29" s="16"/>
      <c r="H29" s="16"/>
      <c r="I29" s="16"/>
      <c r="J29" s="16" t="s">
        <v>7</v>
      </c>
      <c r="K29" s="16"/>
      <c r="L29" s="17">
        <f ca="1">IF(INDIRECT("J"&amp;ROW())="текущие цены",0/1000,439/1000)</f>
        <v>0.439</v>
      </c>
      <c r="M29" s="7"/>
      <c r="N29" s="7"/>
      <c r="O29" s="7"/>
      <c r="P29" s="7"/>
      <c r="Q29" s="7"/>
    </row>
    <row r="30" spans="1:17" ht="60">
      <c r="A30" s="13">
        <v>9</v>
      </c>
      <c r="B30" s="14" t="s">
        <v>22</v>
      </c>
      <c r="C30" s="14" t="s">
        <v>40</v>
      </c>
      <c r="D30" s="15" t="str">
        <f ca="1" t="shared" si="0"/>
        <v>5 * 172.5 </v>
      </c>
      <c r="E30" s="16">
        <v>5</v>
      </c>
      <c r="F30" s="16" t="str">
        <f ca="1">IF(INDIRECT("J"&amp;ROW())="текущие цены",IF(INDIRECT("G"&amp;ROW())="","0","0"),IF(INDIRECT("G"&amp;ROW())="","172.5","172.5"))</f>
        <v>172.5</v>
      </c>
      <c r="G30" s="16"/>
      <c r="H30" s="16"/>
      <c r="I30" s="16"/>
      <c r="J30" s="16" t="s">
        <v>7</v>
      </c>
      <c r="K30" s="16"/>
      <c r="L30" s="17">
        <f ca="1">IF(INDIRECT("J"&amp;ROW())="текущие цены",0/1000,863/1000)</f>
        <v>0.863</v>
      </c>
      <c r="M30" s="7"/>
      <c r="N30" s="7"/>
      <c r="O30" s="7"/>
      <c r="P30" s="7"/>
      <c r="Q30" s="7"/>
    </row>
    <row r="31" spans="1:17" ht="45">
      <c r="A31" s="13">
        <v>10</v>
      </c>
      <c r="B31" s="14" t="s">
        <v>23</v>
      </c>
      <c r="C31" s="14" t="s">
        <v>41</v>
      </c>
      <c r="D31" s="15" t="str">
        <f ca="1" t="shared" si="0"/>
        <v>0,2 * 34.3 </v>
      </c>
      <c r="E31" s="16">
        <v>0.2</v>
      </c>
      <c r="F31" s="16" t="str">
        <f ca="1">IF(INDIRECT("J"&amp;ROW())="текущие цены",IF(INDIRECT("G"&amp;ROW())="","0","0"),IF(INDIRECT("G"&amp;ROW())="","34.3","34.3"))</f>
        <v>34.3</v>
      </c>
      <c r="G31" s="16"/>
      <c r="H31" s="16"/>
      <c r="I31" s="16"/>
      <c r="J31" s="16" t="s">
        <v>7</v>
      </c>
      <c r="K31" s="16"/>
      <c r="L31" s="17">
        <f ca="1">IF(INDIRECT("J"&amp;ROW())="текущие цены",0/1000,7/1000)</f>
        <v>0.007</v>
      </c>
      <c r="M31" s="7"/>
      <c r="N31" s="7"/>
      <c r="O31" s="7"/>
      <c r="P31" s="7"/>
      <c r="Q31" s="7"/>
    </row>
    <row r="32" spans="1:17" ht="90">
      <c r="A32" s="13">
        <v>11</v>
      </c>
      <c r="B32" s="14" t="s">
        <v>24</v>
      </c>
      <c r="C32" s="14" t="s">
        <v>42</v>
      </c>
      <c r="D32" s="15" t="str">
        <f ca="1" t="shared" si="0"/>
        <v> * 220.2 </v>
      </c>
      <c r="E32" s="16"/>
      <c r="F32" s="16" t="str">
        <f ca="1">IF(INDIRECT("J"&amp;ROW())="текущие цены",IF(INDIRECT("G"&amp;ROW())="","0","0"),IF(INDIRECT("G"&amp;ROW())="","220.2","220.2"))</f>
        <v>220.2</v>
      </c>
      <c r="G32" s="16"/>
      <c r="H32" s="16"/>
      <c r="I32" s="16"/>
      <c r="J32" s="16" t="s">
        <v>7</v>
      </c>
      <c r="K32" s="16"/>
      <c r="L32" s="17">
        <f ca="1">IF(INDIRECT("J"&amp;ROW())="текущие цены",0/1000,0/1000)</f>
        <v>0</v>
      </c>
      <c r="M32" s="7"/>
      <c r="N32" s="7"/>
      <c r="O32" s="7"/>
      <c r="P32" s="7"/>
      <c r="Q32" s="7"/>
    </row>
    <row r="33" spans="1:17" ht="43.5">
      <c r="A33" s="13">
        <v>12</v>
      </c>
      <c r="B33" s="14" t="s">
        <v>25</v>
      </c>
      <c r="C33" s="14" t="s">
        <v>43</v>
      </c>
      <c r="D33" s="15" t="str">
        <f ca="1" t="shared" si="0"/>
        <v>5 * 19.1 </v>
      </c>
      <c r="E33" s="16">
        <v>5</v>
      </c>
      <c r="F33" s="16" t="str">
        <f ca="1">IF(INDIRECT("J"&amp;ROW())="текущие цены",IF(INDIRECT("G"&amp;ROW())="","0","0"),IF(INDIRECT("G"&amp;ROW())="","19.1","19.1"))</f>
        <v>19.1</v>
      </c>
      <c r="G33" s="16"/>
      <c r="H33" s="16"/>
      <c r="I33" s="16"/>
      <c r="J33" s="16" t="s">
        <v>7</v>
      </c>
      <c r="K33" s="16"/>
      <c r="L33" s="17">
        <f ca="1">IF(INDIRECT("J"&amp;ROW())="текущие цены",0/1000,96/1000)</f>
        <v>0.096</v>
      </c>
      <c r="M33" s="7"/>
      <c r="N33" s="7"/>
      <c r="O33" s="7"/>
      <c r="P33" s="7"/>
      <c r="Q33" s="7"/>
    </row>
    <row r="34" spans="1:17" ht="43.5">
      <c r="A34" s="18">
        <v>13</v>
      </c>
      <c r="B34" s="19" t="s">
        <v>26</v>
      </c>
      <c r="C34" s="19" t="s">
        <v>44</v>
      </c>
      <c r="D34" s="20" t="str">
        <f ca="1" t="shared" si="0"/>
        <v>5 * 39.9 </v>
      </c>
      <c r="E34" s="21">
        <v>5</v>
      </c>
      <c r="F34" s="21" t="str">
        <f ca="1">IF(INDIRECT("J"&amp;ROW())="текущие цены",IF(INDIRECT("G"&amp;ROW())="","0","0"),IF(INDIRECT("G"&amp;ROW())="","39.9","39.9"))</f>
        <v>39.9</v>
      </c>
      <c r="G34" s="21"/>
      <c r="H34" s="21"/>
      <c r="I34" s="21"/>
      <c r="J34" s="21" t="s">
        <v>7</v>
      </c>
      <c r="K34" s="21"/>
      <c r="L34" s="22">
        <f ca="1">IF(INDIRECT("J"&amp;ROW())="текущие цены",0/1000,200/1000)</f>
        <v>0.2</v>
      </c>
      <c r="M34" s="7"/>
      <c r="N34" s="7"/>
      <c r="O34" s="7"/>
      <c r="P34" s="7"/>
      <c r="Q34" s="7"/>
    </row>
    <row r="35" spans="1:17" ht="15">
      <c r="A35" s="38" t="s">
        <v>48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7">
        <f>1605/1000</f>
        <v>1.605</v>
      </c>
      <c r="M35" s="7"/>
      <c r="N35" s="7"/>
      <c r="O35" s="7"/>
      <c r="P35" s="7"/>
      <c r="Q35" s="7"/>
    </row>
    <row r="36" spans="1:17" ht="15">
      <c r="A36" s="46" t="s">
        <v>59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2">
        <f>71423/1000</f>
        <v>71.423</v>
      </c>
      <c r="M36" s="7"/>
      <c r="N36" s="7"/>
      <c r="O36" s="7"/>
      <c r="P36" s="7"/>
      <c r="Q36" s="7"/>
    </row>
    <row r="37" spans="1:17" ht="15">
      <c r="A37" s="43" t="s">
        <v>49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23">
        <f>23146/1000</f>
        <v>23.146</v>
      </c>
      <c r="M37" s="7"/>
      <c r="N37" s="7"/>
      <c r="O37" s="7"/>
      <c r="P37" s="7"/>
      <c r="Q37" s="7"/>
    </row>
    <row r="38" spans="1:17" ht="15">
      <c r="A38" s="44" t="s">
        <v>27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23"/>
      <c r="M38" s="7"/>
      <c r="N38" s="7"/>
      <c r="O38" s="7"/>
      <c r="P38" s="7"/>
      <c r="Q38" s="7"/>
    </row>
    <row r="39" spans="1:17" ht="15">
      <c r="A39" s="43" t="s">
        <v>45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23">
        <f>81595/1000</f>
        <v>81.595</v>
      </c>
      <c r="M39" s="7"/>
      <c r="N39" s="7"/>
      <c r="O39" s="7"/>
      <c r="P39" s="7"/>
      <c r="Q39" s="7"/>
    </row>
    <row r="40" spans="1:17" ht="15">
      <c r="A40" s="43" t="s">
        <v>46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3">
        <f>2853/1000</f>
        <v>2.853</v>
      </c>
      <c r="M40" s="7"/>
      <c r="N40" s="7"/>
      <c r="O40" s="7"/>
      <c r="P40" s="7"/>
      <c r="Q40" s="7"/>
    </row>
    <row r="41" spans="1:17" ht="15">
      <c r="A41" s="43" t="s">
        <v>47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3">
        <f>71423/1000</f>
        <v>71.423</v>
      </c>
      <c r="M41" s="7"/>
      <c r="N41" s="7"/>
      <c r="O41" s="7"/>
      <c r="P41" s="7"/>
      <c r="Q41" s="7"/>
    </row>
    <row r="42" spans="1:17" ht="15">
      <c r="A42" s="43" t="s">
        <v>28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3">
        <f>155871/1000</f>
        <v>155.871</v>
      </c>
      <c r="M42" s="7"/>
      <c r="N42" s="7"/>
      <c r="O42" s="7"/>
      <c r="P42" s="7"/>
      <c r="Q42" s="7"/>
    </row>
    <row r="43" spans="1:17" ht="15">
      <c r="A43" s="43" t="s">
        <v>29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3">
        <f>28057/1000</f>
        <v>28.057</v>
      </c>
      <c r="M43" s="7"/>
      <c r="N43" s="7"/>
      <c r="O43" s="7"/>
      <c r="P43" s="7"/>
      <c r="Q43" s="7"/>
    </row>
    <row r="44" spans="1:17" ht="15">
      <c r="A44" s="44" t="s">
        <v>30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23">
        <f>183928/1000</f>
        <v>183.928</v>
      </c>
      <c r="M44" s="7"/>
      <c r="N44" s="7"/>
      <c r="O44" s="7"/>
      <c r="P44" s="7"/>
      <c r="Q44" s="7"/>
    </row>
    <row r="45" spans="1:17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8"/>
      <c r="N45" s="9"/>
      <c r="O45" s="9"/>
      <c r="P45" s="9"/>
      <c r="Q45" s="9"/>
    </row>
    <row r="46" spans="1:1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5">
      <c r="B47" s="2"/>
      <c r="C47" s="10"/>
      <c r="D47" s="2"/>
      <c r="E47" s="2"/>
      <c r="F47" s="2"/>
      <c r="G47" s="2"/>
      <c r="H47" s="2"/>
      <c r="I47" s="2"/>
      <c r="J47" s="2"/>
      <c r="K47" s="2"/>
      <c r="L47" s="2"/>
    </row>
    <row r="48" spans="1:25" ht="15">
      <c r="A48" s="40" t="s">
        <v>52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</row>
    <row r="49" spans="1:25" ht="15">
      <c r="A49" s="42" t="s">
        <v>53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30"/>
      <c r="O49" s="30"/>
      <c r="P49" s="30"/>
      <c r="Q49" s="30"/>
      <c r="R49" s="29"/>
      <c r="S49" s="29"/>
      <c r="T49" s="29"/>
      <c r="U49" s="29"/>
      <c r="V49" s="29"/>
      <c r="W49" s="29"/>
      <c r="X49" s="29"/>
      <c r="Y49" s="29"/>
    </row>
    <row r="50" spans="2:12" ht="15">
      <c r="B50" s="2"/>
      <c r="C50" s="10"/>
      <c r="D50" s="2"/>
      <c r="E50" s="2"/>
      <c r="F50" s="2"/>
      <c r="G50" s="2"/>
      <c r="H50" s="2"/>
      <c r="I50" s="2"/>
      <c r="J50" s="2"/>
      <c r="K50" s="2"/>
      <c r="L50" s="2"/>
    </row>
    <row r="52" spans="1:12" ht="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29">
    <mergeCell ref="A40:K40"/>
    <mergeCell ref="A41:K41"/>
    <mergeCell ref="C1:L1"/>
    <mergeCell ref="A19:K19"/>
    <mergeCell ref="A20:L20"/>
    <mergeCell ref="A23:K23"/>
    <mergeCell ref="A24:K24"/>
    <mergeCell ref="C3:L3"/>
    <mergeCell ref="C4:L4"/>
    <mergeCell ref="C5:L5"/>
    <mergeCell ref="C2:L2"/>
    <mergeCell ref="A35:K35"/>
    <mergeCell ref="D6:L6"/>
    <mergeCell ref="A52:L52"/>
    <mergeCell ref="A8:L8"/>
    <mergeCell ref="A9:L9"/>
    <mergeCell ref="A10:L10"/>
    <mergeCell ref="A15:L15"/>
    <mergeCell ref="A18:K18"/>
    <mergeCell ref="A48:M48"/>
    <mergeCell ref="A49:M49"/>
    <mergeCell ref="A25:L25"/>
    <mergeCell ref="A42:K42"/>
    <mergeCell ref="A43:K43"/>
    <mergeCell ref="A44:K44"/>
    <mergeCell ref="A36:K36"/>
    <mergeCell ref="A37:K37"/>
    <mergeCell ref="A38:K38"/>
    <mergeCell ref="A39:K39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portrait" paperSize="9" scale="66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YuKazaeva</dc:creator>
  <cp:keywords/>
  <dc:description>27.04.2009</dc:description>
  <cp:lastModifiedBy>e.plahova</cp:lastModifiedBy>
  <cp:lastPrinted>2016-09-29T06:21:28Z</cp:lastPrinted>
  <dcterms:created xsi:type="dcterms:W3CDTF">2007-02-21T08:42:24Z</dcterms:created>
  <dcterms:modified xsi:type="dcterms:W3CDTF">2016-10-03T10:44:01Z</dcterms:modified>
  <cp:category/>
  <cp:version/>
  <cp:contentType/>
  <cp:contentStatus/>
</cp:coreProperties>
</file>