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5970" windowWidth="15420" windowHeight="5715" activeTab="0"/>
  </bookViews>
  <sheets>
    <sheet name="Мои данные" sheetId="1" r:id="rId1"/>
    <sheet name="Вспомогательный" sheetId="2" state="hidden" r:id="rId2"/>
  </sheets>
  <definedNames>
    <definedName name="_xlnm.Print_Titles" localSheetId="0">'Мои данные'!$13:$13</definedName>
    <definedName name="_xlnm.Print_Area" localSheetId="0">'Мои данные'!$A$1:$N$56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</author>
    <author>Alex Sosedko</author>
  </authors>
  <commentList>
    <comment ref="A8" authorId="0">
      <text>
        <r>
          <rPr>
            <sz val="8"/>
            <rFont val="Tahoma"/>
            <family val="2"/>
          </rPr>
          <t xml:space="preserve"> &lt;Индекс/ЛН расчета&gt;</t>
        </r>
      </text>
    </comment>
    <comment ref="C55" authorId="1">
      <text>
        <r>
          <rPr>
            <b/>
            <sz val="8"/>
            <rFont val="Tahoma"/>
            <family val="2"/>
          </rPr>
          <t xml:space="preserve"> &lt;Составил&gt;</t>
        </r>
      </text>
    </comment>
    <comment ref="A10" authorId="0">
      <text>
        <r>
          <rPr>
            <sz val="8"/>
            <rFont val="Tahoma"/>
            <family val="2"/>
          </rPr>
          <t xml:space="preserve"> &lt;Наименование стройки&gt;, &lt;Наименование объекта&gt;, &lt;Наименование локальной сметы&gt;</t>
        </r>
      </text>
    </comment>
    <comment ref="A13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3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</t>
        </r>
      </text>
    </comment>
    <comment ref="C13" authorId="2">
      <text>
        <r>
          <rPr>
            <sz val="8"/>
            <rFont val="Tahoma"/>
            <family val="2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C52" authorId="0">
      <text>
        <r>
          <rPr>
            <sz val="8"/>
            <rFont val="Tahoma"/>
            <family val="2"/>
          </rPr>
          <t xml:space="preserve"> &lt;подпись 360 значение&gt;</t>
        </r>
      </text>
    </comment>
    <comment ref="A43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N43" authorId="0">
      <text>
        <r>
          <rPr>
            <sz val="8"/>
            <rFont val="Tahoma"/>
            <family val="2"/>
          </rPr>
          <t xml:space="preserve"> =&lt;Прямые затраты (итоги)&gt;/1000</t>
        </r>
      </text>
    </comment>
    <comment ref="E13" authorId="0">
      <text>
        <r>
          <rPr>
            <sz val="8"/>
            <rFont val="Tahoma"/>
            <family val="2"/>
          </rPr>
          <t xml:space="preserve"> =IF(&lt;Пустой идентификатор&gt;&lt;Количество всего (физ. объем) по позиции&gt; = "","0",&lt;Количество всего (физ. объем) по позиции&gt;)</t>
        </r>
      </text>
    </comment>
    <comment ref="F13" authorId="0">
      <text>
        <r>
          <rPr>
            <sz val="8"/>
            <rFont val="Tahoma"/>
            <family val="2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3" authorId="0">
      <text>
        <r>
          <rPr>
            <sz val="8"/>
            <rFont val="Tahoma"/>
            <family val="2"/>
          </rPr>
          <t xml:space="preserve"> &lt;К-т к позиции на прямые затраты&gt;</t>
        </r>
      </text>
    </comment>
    <comment ref="H13" authorId="0">
      <text>
        <r>
          <rPr>
            <sz val="8"/>
            <rFont val="Tahoma"/>
            <family val="2"/>
          </rPr>
          <t xml:space="preserve"> &lt;Формула расчета физ. объема&gt;</t>
        </r>
      </text>
    </comment>
    <comment ref="N13" authorId="1">
      <text>
        <r>
          <rPr>
            <b/>
            <sz val="8"/>
            <rFont val="Tahoma"/>
            <family val="2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I13" authorId="0">
      <text>
        <r>
          <rPr>
            <sz val="8"/>
            <rFont val="Tahoma"/>
            <family val="2"/>
          </rPr>
          <t xml:space="preserve"> &lt;Формула расчета стоимости единицы&gt;</t>
        </r>
      </text>
    </comment>
    <comment ref="D13" authorId="0">
      <text>
        <r>
          <rPr>
            <sz val="8"/>
            <rFont val="Tahoma"/>
            <family val="2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J13" authorId="2">
      <text>
        <r>
          <rPr>
            <b/>
            <sz val="8"/>
            <rFont val="Tahoma"/>
            <family val="2"/>
          </rPr>
          <t xml:space="preserve"> &lt;Уровень цен позиции&gt;</t>
        </r>
      </text>
    </comment>
    <comment ref="A57" authorId="1">
      <text>
        <r>
          <rPr>
            <b/>
            <sz val="8"/>
            <rFont val="Tahoma"/>
            <family val="2"/>
          </rPr>
          <t xml:space="preserve"> &lt;Комментарии к смете&gt;</t>
        </r>
      </text>
    </comment>
    <comment ref="K13" authorId="2">
      <text>
        <r>
          <rPr>
            <sz val="8"/>
            <rFont val="Tahoma"/>
            <family val="2"/>
          </rPr>
          <t xml:space="preserve"> &lt;Обоснование коэффициентов&gt;</t>
        </r>
      </text>
    </comment>
    <comment ref="L13" authorId="1">
      <text>
        <r>
          <rPr>
            <b/>
            <sz val="8"/>
            <rFont val="Tahoma"/>
            <family val="2"/>
          </rPr>
          <t xml:space="preserve"> &lt;Номер раздела&gt;</t>
        </r>
      </text>
    </comment>
    <comment ref="M13" authorId="0">
      <text>
        <r>
          <rPr>
            <sz val="8"/>
            <rFont val="Tahoma"/>
            <family val="2"/>
          </rPr>
          <t xml:space="preserve"> &lt;Ед. измерения по расценке&gt;</t>
        </r>
      </text>
    </comment>
  </commentList>
</comments>
</file>

<file path=xl/sharedStrings.xml><?xml version="1.0" encoding="utf-8"?>
<sst xmlns="http://schemas.openxmlformats.org/spreadsheetml/2006/main" count="99" uniqueCount="80">
  <si>
    <t>№ пп</t>
  </si>
  <si>
    <t xml:space="preserve">СМЕТА № 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</si>
  <si>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</si>
  <si>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</si>
  <si>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Расчет стоимости: (a+bx)*Kj или
(стоимость
строительно-монтажных
работ)*проц./ 100 или количество * цена, руб.</t>
  </si>
  <si>
    <t>Стоимость работ,    тыс. руб.</t>
  </si>
  <si>
    <t>Раздел 1. Очистные сооружения</t>
  </si>
  <si>
    <t>цены 2001</t>
  </si>
  <si>
    <t>объект</t>
  </si>
  <si>
    <t>Итого по разделу 1 Очистные сооружения</t>
  </si>
  <si>
    <t>Раздел 2. Инженерно-геодезические изыскания</t>
  </si>
  <si>
    <t>га</t>
  </si>
  <si>
    <t>регистрация</t>
  </si>
  <si>
    <t>Итого по разделу 2 Инженерно-геодезические изыскания</t>
  </si>
  <si>
    <t>Раздел 3. Инженерно-геологические  и инженерно-экологические изыскания</t>
  </si>
  <si>
    <t>Полевые работы</t>
  </si>
  <si>
    <t>м</t>
  </si>
  <si>
    <t>1 монолит</t>
  </si>
  <si>
    <t>Лабораторные работы</t>
  </si>
  <si>
    <t>1 образец</t>
  </si>
  <si>
    <t>1 проба</t>
  </si>
  <si>
    <t>Камеральные работы</t>
  </si>
  <si>
    <t>1м выработки</t>
  </si>
  <si>
    <t>%</t>
  </si>
  <si>
    <t>Итого по разделу 3 Инженерно-геологические  и инженерно-экологические изыскания</t>
  </si>
  <si>
    <t>Раздел 4. Инженерно-гидрометеорологические изыскания</t>
  </si>
  <si>
    <t>1 км маршрута</t>
  </si>
  <si>
    <t>1 отчет</t>
  </si>
  <si>
    <t>Итого по разделу 4 Инженерно-гидрометеорологические изыскания</t>
  </si>
  <si>
    <t>Итоги по смете:</t>
  </si>
  <si>
    <t xml:space="preserve">  НДС 18%</t>
  </si>
  <si>
    <t xml:space="preserve">  ВСЕГО по смете</t>
  </si>
  <si>
    <t>1,1</t>
  </si>
  <si>
    <t>УБЦ2 табл.4 п.3.Расходы по внутреннему транспорту при расстоянии от базы до участка изысканий 10-15 км. при сметной ст-ти полевых изыск. работ 300-750 тыс. руб. К=10%;</t>
  </si>
  <si>
    <t>0,9</t>
  </si>
  <si>
    <t>прим.при бурении скважин самоходными и передвижными установками без устройства циркуляционной системы: для скважин глубиной до 15 и до 25м К=0.9;</t>
  </si>
  <si>
    <t>497250*1+1770*17,2</t>
  </si>
  <si>
    <t>Иловые площадки, накопители и пруды глубиной до 5 м, количеством секций до 2, емкостью: св. 10 до 50 тыс.м3
(1 тыс.м3)</t>
  </si>
  <si>
    <t>134440*1+28380*0,525</t>
  </si>
  <si>
    <t>Канализационные коллекторы с сооружениями на них, пропускной способностью от 3000 до 10000 м3/ч, прокладываемые по незастроенной территории: рельеф местности II группы сложности
(1 км)</t>
  </si>
  <si>
    <t>Создание инженерно-топографического плана на застроенной территории, масштаб съемки 1:500, высота сечения рельефа 0,25 м: 3 категории сложности - полевые работы
(га)</t>
  </si>
  <si>
    <t>Создание инженерно-топографического плана на застроенной территории, масштаб съемки 1:500, высота сечения рельефа 0,25 м: 3 категории сложности - камеральные работы
(га)</t>
  </si>
  <si>
    <t>Работы по регистрации (оформлению разрешений) инженерных изысканий для строительства и приемке материалов выполненных топографо-геодезических работ. Сметная стоимость изысканий в ценах на 01.01.01 г. до 25 тыс.руб. - цена = 4%
(регистрация)</t>
  </si>
  <si>
    <t>Колонковое бурение скважины диаметром до 160мм, глубиной до 15м: категория породы 1
(м)</t>
  </si>
  <si>
    <t>Отбор монолитов из буровых скважин (связные грунты) с глубины до 10м
(1 монолит)</t>
  </si>
  <si>
    <t>Сокращенный комплекс физико-механических свойств глинистого грунта нарушенной структуры с заданной влажностью и плотностью сухого грунта при компрессионных испытаниях с нагрузками до 0,6МПа. Неконсолидированный срез под нагрузкой до 0,6МПа
(1 образец)</t>
  </si>
  <si>
    <t>Сокращенный анализ воды
(1 проба)</t>
  </si>
  <si>
    <t>Камеральная обработка материалов буровых и горнопроходческих работ: категория сложности инженерно-геологических условий 1
(1м выработки)</t>
  </si>
  <si>
    <t>Камеральная обработка комплексных исследований и отдельных определений физико-механических свойств грунтов (пород), цена, %, от стоимости лабораторных работ: глинистых - 20%
(%)</t>
  </si>
  <si>
    <t>Рекогносцировочное обследование бассейна реки: категория сложности 1, полевые работы
(1 км маршрута)</t>
  </si>
  <si>
    <t>Рекогносцировочное обследование бассейна реки: категория сложности 1, камеральные работы
(1 км маршрута)</t>
  </si>
  <si>
    <t>Составление технического отчета (в % от стоимости камеральных работ), стоимость камеральных работ до 500 руб.: степень гидрометеорологической изученности территории - изученная - 55%
(1 отчет)</t>
  </si>
  <si>
    <r>
      <t xml:space="preserve">СБЦ  табл.12 п.02
</t>
    </r>
    <r>
      <rPr>
        <i/>
        <sz val="9"/>
        <rFont val="Arial"/>
        <family val="2"/>
      </rPr>
      <t xml:space="preserve"> Объекты водоснабжения и канализации (2008г.)</t>
    </r>
  </si>
  <si>
    <r>
      <t xml:space="preserve">СБЦ  табл.8 п.08
</t>
    </r>
    <r>
      <rPr>
        <i/>
        <sz val="9"/>
        <rFont val="Arial"/>
        <family val="2"/>
      </rPr>
      <t xml:space="preserve"> Объекты водоснабжения и канализации (2008г.)</t>
    </r>
  </si>
  <si>
    <r>
      <t xml:space="preserve">УБЦ  табл.9 п.3-2-1
</t>
    </r>
    <r>
      <rPr>
        <i/>
        <sz val="9"/>
        <rFont val="Arial"/>
        <family val="2"/>
      </rPr>
      <t>"Инж.-геодез. изыск.(2004 г.)"
УБЦ2 табл.4 п.3.Расходы по внутреннему транспорту при расстоянии от базы до участка изысканий 10-15 км. при сметной ст-ти полевых изыск. работ 300-750 тыс. руб. К=10%</t>
    </r>
  </si>
  <si>
    <r>
      <t xml:space="preserve">УБЦ  табл.9 п.3-2-2
</t>
    </r>
    <r>
      <rPr>
        <i/>
        <sz val="9"/>
        <rFont val="Arial"/>
        <family val="2"/>
      </rPr>
      <t>"Инж.-геодез. изыск.(2004 г.)"</t>
    </r>
  </si>
  <si>
    <r>
      <t xml:space="preserve">УБЦ  табл.80 п.1
</t>
    </r>
    <r>
      <rPr>
        <i/>
        <sz val="9"/>
        <rFont val="Arial"/>
        <family val="2"/>
      </rPr>
      <t>"Инж.-геодез. изыск.(2004 г.)"</t>
    </r>
  </si>
  <si>
    <r>
      <t xml:space="preserve">СБЦИ  табл.17 п.1-1
</t>
    </r>
    <r>
      <rPr>
        <i/>
        <sz val="9"/>
        <rFont val="Arial"/>
        <family val="2"/>
      </rPr>
      <t>"Инж.-геологические и инж.-экологич. изыскания (1999 г.)"
прим.при бурении скважин самоходными и передвижными установками без устройства циркуляционной системы: для скважин глубиной до 15 и до 25м К=0.9</t>
    </r>
  </si>
  <si>
    <r>
      <t xml:space="preserve">СБЦИ  табл.57 п.1-1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</si>
  <si>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табл.63 п.23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</si>
  <si>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табл.73 п.3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</si>
  <si>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табл.82 п.1-1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</si>
  <si>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табл.86 п.1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</si>
  <si>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табл.43 п.2-1-1
</t>
    </r>
    <r>
      <rPr>
        <i/>
        <sz val="9"/>
        <rFont val="Arial"/>
        <family val="2"/>
      </rPr>
      <t>"Инж.-гидрогр.работы (2001 г.)"
Примечание: Применительно</t>
    </r>
  </si>
  <si>
    <r>
      <t xml:space="preserve">СБЦИ  табл.43 п.2-1-2
</t>
    </r>
    <r>
      <rPr>
        <i/>
        <sz val="9"/>
        <rFont val="Arial"/>
        <family val="2"/>
      </rPr>
      <t>"Инж.-гидрогр.работы (2001 г.)"
Примечание: Применительно</t>
    </r>
  </si>
  <si>
    <r>
      <t xml:space="preserve">СБЦИ  табл.62 п.1-1
</t>
    </r>
    <r>
      <rPr>
        <i/>
        <sz val="9"/>
        <rFont val="Arial"/>
        <family val="2"/>
      </rPr>
      <t>"Инж.-гидрогр.работы (2001 г.)"</t>
    </r>
  </si>
  <si>
    <t xml:space="preserve">  Итого Перевод в текущие цены на 1 ноября  2016 г. (Инф.сб.УЦИС КО выпуск № 5(144)) 3,92</t>
  </si>
  <si>
    <t xml:space="preserve">  Итого Перевод в текущие цены на 1 ноября  2016 г. (Инф.сб.УЦИС КО выпуск № 5(144)) 3,93</t>
  </si>
  <si>
    <t xml:space="preserve">  Итого Перевод в текущие цены на 1 ноября  2016 г. (Инф.сб.УЦИС КО выпуск № 5(144)) 44,5</t>
  </si>
  <si>
    <t>Итого затраты по разделу</t>
  </si>
  <si>
    <t>Итого затраты по разделам (1-4)</t>
  </si>
  <si>
    <t>УТВЕРЖДАЮ:</t>
  </si>
  <si>
    <t>Составил: ___________________________Миронова Е.А.</t>
  </si>
  <si>
    <t>(должность, подпись, расшифровка)</t>
  </si>
  <si>
    <t>«Иловые площадки (инвентарный номер 39899), расположенные по адресу: Калужская область, Боровский район, г. Ермолино»</t>
  </si>
  <si>
    <t>Приложение № 1 к закупочной документации</t>
  </si>
  <si>
    <t>И.о. генерального директора</t>
  </si>
  <si>
    <t>ГП "Калугаоблводоканал"</t>
  </si>
  <si>
    <t>___________________Грошев А.В.</t>
  </si>
  <si>
    <t>на выполнение проектно-изыскательских  работ по реконструкции объекта: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</si>
</sst>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0" borderId="1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5" fillId="0" borderId="1">
      <alignment horizontal="center"/>
      <protection/>
    </xf>
    <xf numFmtId="0" fontId="5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5" fillId="0" borderId="0">
      <alignment horizontal="right" vertical="top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8" borderId="8" applyNumberFormat="0" applyAlignment="0" applyProtection="0"/>
    <xf numFmtId="0" fontId="5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" fillId="0" borderId="1">
      <alignment horizontal="center"/>
      <protection/>
    </xf>
    <xf numFmtId="0" fontId="5" fillId="0" borderId="1">
      <alignment horizont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top"/>
      <protection/>
    </xf>
    <xf numFmtId="0" fontId="49" fillId="32" borderId="0" applyNumberFormat="0" applyBorder="0" applyAlignment="0" applyProtection="0"/>
    <xf numFmtId="0" fontId="5" fillId="0" borderId="0">
      <alignment/>
      <protection/>
    </xf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7" fillId="0" borderId="0" xfId="108" applyFont="1">
      <alignment horizontal="left" vertical="top"/>
      <protection/>
    </xf>
    <xf numFmtId="0" fontId="0" fillId="0" borderId="0" xfId="0" applyFont="1" applyAlignment="1">
      <alignment wrapText="1"/>
    </xf>
    <xf numFmtId="0" fontId="7" fillId="0" borderId="0" xfId="105" applyFont="1" applyBorder="1" applyAlignment="1">
      <alignment horizontal="left" vertical="top" wrapText="1"/>
      <protection/>
    </xf>
    <xf numFmtId="0" fontId="7" fillId="0" borderId="11" xfId="76" applyFont="1" applyBorder="1">
      <alignment horizontal="center" wrapText="1"/>
      <protection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10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horizontal="right" vertical="top" wrapText="1"/>
    </xf>
    <xf numFmtId="9" fontId="7" fillId="0" borderId="11" xfId="0" applyNumberFormat="1" applyFont="1" applyBorder="1" applyAlignment="1">
      <alignment horizontal="center" vertical="top" wrapText="1"/>
    </xf>
    <xf numFmtId="164" fontId="7" fillId="0" borderId="1" xfId="56" applyNumberFormat="1" applyFont="1" applyBorder="1" applyAlignment="1">
      <alignment horizontal="right" vertical="top" wrapText="1"/>
      <protection/>
    </xf>
    <xf numFmtId="164" fontId="8" fillId="0" borderId="1" xfId="56" applyNumberFormat="1" applyFont="1" applyBorder="1" applyAlignment="1">
      <alignment horizontal="right" vertical="top" wrapText="1"/>
      <protection/>
    </xf>
    <xf numFmtId="0" fontId="7" fillId="0" borderId="1" xfId="0" applyNumberFormat="1" applyFont="1" applyBorder="1" applyAlignment="1" quotePrefix="1">
      <alignment horizontal="left" vertical="top" wrapText="1"/>
    </xf>
    <xf numFmtId="0" fontId="7" fillId="0" borderId="11" xfId="0" applyNumberFormat="1" applyFont="1" applyBorder="1" applyAlignment="1" quotePrefix="1">
      <alignment horizontal="left" vertical="top" wrapText="1"/>
    </xf>
    <xf numFmtId="0" fontId="12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7" fillId="0" borderId="0" xfId="105" applyFont="1" applyBorder="1" applyAlignment="1">
      <alignment wrapText="1"/>
      <protection/>
    </xf>
    <xf numFmtId="0" fontId="7" fillId="0" borderId="0" xfId="105" applyFont="1" applyBorder="1" applyAlignment="1">
      <alignment vertical="top" wrapText="1"/>
      <protection/>
    </xf>
    <xf numFmtId="0" fontId="8" fillId="0" borderId="11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7" fillId="0" borderId="0" xfId="105" applyFont="1" applyBorder="1" applyAlignment="1">
      <alignment horizontal="right" wrapText="1"/>
      <protection/>
    </xf>
    <xf numFmtId="0" fontId="7" fillId="0" borderId="0" xfId="105" applyFont="1" applyBorder="1" applyAlignment="1">
      <alignment horizontal="right" vertical="top" wrapText="1"/>
      <protection/>
    </xf>
    <xf numFmtId="0" fontId="0" fillId="0" borderId="0" xfId="0" applyFont="1" applyAlignment="1">
      <alignment horizontal="right"/>
    </xf>
    <xf numFmtId="0" fontId="7" fillId="0" borderId="1" xfId="56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6" applyNumberFormat="1" applyFont="1" applyBorder="1" applyAlignment="1">
      <alignment horizontal="left" vertical="top" wrapText="1"/>
      <protection/>
    </xf>
    <xf numFmtId="0" fontId="10" fillId="0" borderId="1" xfId="0" applyFont="1" applyBorder="1" applyAlignment="1">
      <alignment horizontal="left" vertical="top" wrapText="1"/>
    </xf>
    <xf numFmtId="0" fontId="8" fillId="0" borderId="0" xfId="105" applyNumberFormat="1" applyFont="1" applyBorder="1" applyAlignment="1">
      <alignment horizontal="center" vertical="top" wrapText="1"/>
      <protection/>
    </xf>
    <xf numFmtId="0" fontId="8" fillId="0" borderId="0" xfId="105" applyFont="1" applyBorder="1" applyAlignment="1">
      <alignment horizontal="center" vertical="top" wrapText="1"/>
      <protection/>
    </xf>
    <xf numFmtId="0" fontId="9" fillId="0" borderId="12" xfId="0" applyNumberFormat="1" applyFont="1" applyBorder="1" applyAlignment="1">
      <alignment horizontal="left" vertical="top" wrapText="1" indent="5"/>
    </xf>
    <xf numFmtId="0" fontId="13" fillId="0" borderId="13" xfId="0" applyFont="1" applyBorder="1" applyAlignment="1">
      <alignment horizontal="left" vertical="top" wrapText="1" indent="5"/>
    </xf>
    <xf numFmtId="0" fontId="13" fillId="0" borderId="14" xfId="0" applyFont="1" applyBorder="1" applyAlignment="1">
      <alignment horizontal="left" vertical="top" wrapText="1" indent="5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12" xfId="0" applyNumberFormat="1" applyFont="1" applyBorder="1" applyAlignment="1">
      <alignment horizontal="left" vertical="top" wrapText="1" indent="5"/>
    </xf>
    <xf numFmtId="0" fontId="12" fillId="0" borderId="13" xfId="0" applyFont="1" applyBorder="1" applyAlignment="1">
      <alignment horizontal="left" vertical="top" wrapText="1" indent="5"/>
    </xf>
    <xf numFmtId="0" fontId="12" fillId="0" borderId="14" xfId="0" applyFont="1" applyBorder="1" applyAlignment="1">
      <alignment horizontal="left" vertical="top" wrapText="1" indent="5"/>
    </xf>
    <xf numFmtId="0" fontId="9" fillId="0" borderId="0" xfId="105" applyFont="1" applyBorder="1" applyAlignment="1">
      <alignment horizontal="left" vertical="top" wrapText="1"/>
      <protection/>
    </xf>
    <xf numFmtId="0" fontId="6" fillId="0" borderId="0" xfId="105" applyFont="1">
      <alignment horizontal="center"/>
      <protection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5" fillId="0" borderId="0" xfId="0" applyFont="1" applyAlignment="1">
      <alignment horizontal="center" vertical="top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тМТСН 2" xfId="35"/>
    <cellStyle name="АктМТСН 3" xfId="36"/>
    <cellStyle name="АктМТСН 4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едРесурсов" xfId="45"/>
    <cellStyle name="ВедРесурсовАкт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Итоги" xfId="56"/>
    <cellStyle name="ИтогоАктБазЦ" xfId="57"/>
    <cellStyle name="ИтогоАктБИМ" xfId="58"/>
    <cellStyle name="ИтогоАктБИМ 2" xfId="59"/>
    <cellStyle name="ИтогоАктБИМ 3" xfId="60"/>
    <cellStyle name="ИтогоАктБИМ 4" xfId="61"/>
    <cellStyle name="ИтогоАктРесМет" xfId="62"/>
    <cellStyle name="ИтогоАктРесМет 2" xfId="63"/>
    <cellStyle name="ИтогоАктРесМет 3" xfId="64"/>
    <cellStyle name="ИтогоАктРесМет 4" xfId="65"/>
    <cellStyle name="ИтогоБазЦ" xfId="66"/>
    <cellStyle name="ИтогоБИМ" xfId="67"/>
    <cellStyle name="ИтогоБИМ 2" xfId="68"/>
    <cellStyle name="ИтогоБИМ 3" xfId="69"/>
    <cellStyle name="ИтогоБИМ 4" xfId="70"/>
    <cellStyle name="ИтогоРесМет" xfId="71"/>
    <cellStyle name="ИтогоРесМет 2" xfId="72"/>
    <cellStyle name="ИтогоРесМет 3" xfId="73"/>
    <cellStyle name="ИтогоРесМет 4" xfId="74"/>
    <cellStyle name="Контрольная ячейка" xfId="75"/>
    <cellStyle name="ЛокСмета" xfId="76"/>
    <cellStyle name="ЛокСмМТСН" xfId="77"/>
    <cellStyle name="ЛокСмМТСН 2" xfId="78"/>
    <cellStyle name="ЛокСмМТСН 3" xfId="79"/>
    <cellStyle name="ЛокСмМТСН 4" xfId="80"/>
    <cellStyle name="М29" xfId="81"/>
    <cellStyle name="М29 2" xfId="82"/>
    <cellStyle name="М29 3" xfId="83"/>
    <cellStyle name="М29 4" xfId="84"/>
    <cellStyle name="Название" xfId="85"/>
    <cellStyle name="Нейтральный" xfId="86"/>
    <cellStyle name="ОбСмета" xfId="87"/>
    <cellStyle name="ОбСмета 2" xfId="88"/>
    <cellStyle name="ОбСмета 3" xfId="89"/>
    <cellStyle name="ОбСмета 4" xfId="90"/>
    <cellStyle name="Параметр" xfId="91"/>
    <cellStyle name="ПеременныеСметы" xfId="92"/>
    <cellStyle name="Плохой" xfId="93"/>
    <cellStyle name="Пояснение" xfId="94"/>
    <cellStyle name="Примечание" xfId="95"/>
    <cellStyle name="Percent" xfId="96"/>
    <cellStyle name="РесСмета" xfId="97"/>
    <cellStyle name="СводкаСтоимРаб" xfId="98"/>
    <cellStyle name="СводРасч" xfId="99"/>
    <cellStyle name="СводРасч 2" xfId="100"/>
    <cellStyle name="СводРасч 3" xfId="101"/>
    <cellStyle name="СводРасч 4" xfId="102"/>
    <cellStyle name="Связанная ячейка" xfId="103"/>
    <cellStyle name="Текст предупреждения" xfId="104"/>
    <cellStyle name="Титул" xfId="105"/>
    <cellStyle name="Comma" xfId="106"/>
    <cellStyle name="Comma [0]" xfId="107"/>
    <cellStyle name="Хвост" xfId="108"/>
    <cellStyle name="Хороший" xfId="109"/>
    <cellStyle name="Экспертиза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11</xdr:row>
      <xdr:rowOff>847725</xdr:rowOff>
    </xdr:from>
    <xdr:to>
      <xdr:col>1</xdr:col>
      <xdr:colOff>2171700</xdr:colOff>
      <xdr:row>11</xdr:row>
      <xdr:rowOff>1095375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181350"/>
          <a:ext cx="2152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57"/>
  <sheetViews>
    <sheetView showGridLines="0" tabSelected="1" view="pageBreakPreview" zoomScaleNormal="120" zoomScaleSheetLayoutView="100" zoomScalePageLayoutView="0" workbookViewId="0" topLeftCell="A1">
      <selection activeCell="C12" sqref="C12:D12"/>
    </sheetView>
  </sheetViews>
  <sheetFormatPr defaultColWidth="9.00390625" defaultRowHeight="12.75" outlineLevelRow="1"/>
  <cols>
    <col min="1" max="1" width="5.75390625" style="1" customWidth="1"/>
    <col min="2" max="3" width="29.375" style="1" customWidth="1"/>
    <col min="4" max="4" width="18.25390625" style="1" customWidth="1"/>
    <col min="5" max="10" width="22.125" style="1" hidden="1" customWidth="1"/>
    <col min="11" max="11" width="73.75390625" style="1" hidden="1" customWidth="1"/>
    <col min="12" max="13" width="15.00390625" style="1" hidden="1" customWidth="1"/>
    <col min="14" max="14" width="11.125" style="1" customWidth="1"/>
    <col min="15" max="24" width="9.125" style="1" customWidth="1"/>
    <col min="25" max="25" width="56.00390625" style="8" customWidth="1"/>
    <col min="26" max="16384" width="9.125" style="1" customWidth="1"/>
  </cols>
  <sheetData>
    <row r="1" spans="1:14" ht="12.75">
      <c r="A1" s="36"/>
      <c r="B1" s="36"/>
      <c r="C1" s="40" t="s">
        <v>75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>
      <c r="A2" s="37"/>
      <c r="B2" s="37"/>
      <c r="C2" s="41" t="s">
        <v>71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25" ht="12.75">
      <c r="A3" s="32"/>
      <c r="B3" s="32"/>
      <c r="C3" s="42" t="s">
        <v>76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2"/>
      <c r="P3" s="32"/>
      <c r="Q3" s="32"/>
      <c r="R3" s="32"/>
      <c r="S3" s="32"/>
      <c r="T3" s="32"/>
      <c r="U3" s="32"/>
      <c r="V3" s="32"/>
      <c r="W3" s="32"/>
      <c r="X3" s="32"/>
      <c r="Y3" s="31"/>
    </row>
    <row r="4" spans="1:25" ht="15.75" customHeight="1">
      <c r="A4" s="32"/>
      <c r="B4" s="32"/>
      <c r="C4" s="42" t="s">
        <v>77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32"/>
      <c r="P4" s="32"/>
      <c r="Q4" s="32"/>
      <c r="R4" s="32"/>
      <c r="S4" s="32"/>
      <c r="T4" s="32"/>
      <c r="U4" s="32"/>
      <c r="V4" s="32"/>
      <c r="W4" s="32"/>
      <c r="X4" s="32"/>
      <c r="Y4" s="31"/>
    </row>
    <row r="5" spans="1:25" ht="33" customHeight="1">
      <c r="A5" s="32"/>
      <c r="B5" s="32"/>
      <c r="C5" s="42" t="s">
        <v>78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32"/>
      <c r="P5" s="32"/>
      <c r="Q5" s="32"/>
      <c r="R5" s="32"/>
      <c r="S5" s="32"/>
      <c r="T5" s="32"/>
      <c r="U5" s="32"/>
      <c r="V5" s="32"/>
      <c r="W5" s="32"/>
      <c r="X5" s="32"/>
      <c r="Y5" s="31"/>
    </row>
    <row r="6" spans="1:25" ht="12.75">
      <c r="A6" s="32"/>
      <c r="B6" s="32"/>
      <c r="C6" s="32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1"/>
    </row>
    <row r="7" spans="1:4" ht="12.75">
      <c r="A7" s="9"/>
      <c r="B7" s="9"/>
      <c r="C7" s="9"/>
      <c r="D7" s="9"/>
    </row>
    <row r="8" spans="1:14" ht="15.75">
      <c r="A8" s="57" t="s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12.75">
      <c r="A9" s="58" t="s">
        <v>79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25" ht="30" customHeight="1">
      <c r="A10" s="47" t="s">
        <v>74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Y10" s="29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4" customFormat="1" ht="100.5" customHeight="1">
      <c r="A12" s="3" t="s">
        <v>0</v>
      </c>
      <c r="B12" s="3" t="s">
        <v>2</v>
      </c>
      <c r="C12" s="3" t="s">
        <v>3</v>
      </c>
      <c r="D12" s="3" t="s">
        <v>4</v>
      </c>
      <c r="E12" s="3"/>
      <c r="F12" s="3"/>
      <c r="G12" s="3"/>
      <c r="H12" s="3"/>
      <c r="I12" s="3"/>
      <c r="J12" s="3"/>
      <c r="K12" s="3"/>
      <c r="L12" s="3"/>
      <c r="M12" s="3"/>
      <c r="N12" s="3" t="s">
        <v>5</v>
      </c>
    </row>
    <row r="13" spans="1:14" ht="12.75">
      <c r="A13" s="10">
        <v>1</v>
      </c>
      <c r="B13" s="10">
        <v>2</v>
      </c>
      <c r="C13" s="10">
        <v>3</v>
      </c>
      <c r="D13" s="10">
        <v>4</v>
      </c>
      <c r="E13" s="10"/>
      <c r="F13" s="10"/>
      <c r="G13" s="10"/>
      <c r="H13" s="10"/>
      <c r="I13" s="10"/>
      <c r="J13" s="10"/>
      <c r="K13" s="10"/>
      <c r="L13" s="10"/>
      <c r="M13" s="10"/>
      <c r="N13" s="10">
        <v>5</v>
      </c>
    </row>
    <row r="14" spans="1:25" s="5" customFormat="1" ht="15" customHeight="1">
      <c r="A14" s="53" t="s">
        <v>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  <c r="Y14" s="27"/>
    </row>
    <row r="15" spans="1:25" s="6" customFormat="1" ht="63.75">
      <c r="A15" s="11">
        <v>1</v>
      </c>
      <c r="B15" s="12" t="s">
        <v>37</v>
      </c>
      <c r="C15" s="25" t="s">
        <v>52</v>
      </c>
      <c r="D15" s="13" t="s">
        <v>36</v>
      </c>
      <c r="E15" s="14">
        <f>IF(1="","0",1)</f>
        <v>1</v>
      </c>
      <c r="F15" s="14" t="str">
        <f ca="1">IF(INDIRECT("J"&amp;ROW())="текущие цены",IF(INDIRECT("G"&amp;ROW())="","0","0"),IF(INDIRECT("G"&amp;ROW())="","497250","497250"))</f>
        <v>497250</v>
      </c>
      <c r="G15" s="14"/>
      <c r="H15" s="14"/>
      <c r="I15" s="14"/>
      <c r="J15" s="14" t="s">
        <v>7</v>
      </c>
      <c r="K15" s="14"/>
      <c r="L15" s="14">
        <v>1</v>
      </c>
      <c r="M15" s="14" t="s">
        <v>8</v>
      </c>
      <c r="N15" s="15">
        <v>527.694</v>
      </c>
      <c r="O15" s="5"/>
      <c r="P15" s="5"/>
      <c r="Q15" s="5"/>
      <c r="R15" s="5"/>
      <c r="S15" s="5"/>
      <c r="Y15" s="5"/>
    </row>
    <row r="16" spans="1:19" ht="102">
      <c r="A16" s="11">
        <v>2</v>
      </c>
      <c r="B16" s="12" t="s">
        <v>39</v>
      </c>
      <c r="C16" s="25" t="s">
        <v>53</v>
      </c>
      <c r="D16" s="13" t="s">
        <v>38</v>
      </c>
      <c r="E16" s="14">
        <f>IF(1="","0",1)</f>
        <v>1</v>
      </c>
      <c r="F16" s="14" t="str">
        <f ca="1">IF(INDIRECT("J"&amp;ROW())="текущие цены",IF(INDIRECT("G"&amp;ROW())="","0","0"),IF(INDIRECT("G"&amp;ROW())="","134440","134440"))</f>
        <v>134440</v>
      </c>
      <c r="G16" s="14"/>
      <c r="H16" s="14"/>
      <c r="I16" s="14"/>
      <c r="J16" s="14" t="s">
        <v>7</v>
      </c>
      <c r="K16" s="14"/>
      <c r="L16" s="14">
        <v>1</v>
      </c>
      <c r="M16" s="14" t="s">
        <v>8</v>
      </c>
      <c r="N16" s="15">
        <v>149.3395</v>
      </c>
      <c r="O16" s="5"/>
      <c r="P16" s="5"/>
      <c r="Q16" s="5"/>
      <c r="R16" s="5"/>
      <c r="S16" s="5"/>
    </row>
    <row r="17" spans="1:25" ht="12.75" customHeight="1">
      <c r="A17" s="52" t="s">
        <v>69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15">
        <f>677033.5/1000</f>
        <v>677.0335</v>
      </c>
      <c r="O17" s="5"/>
      <c r="P17" s="5"/>
      <c r="Q17" s="5"/>
      <c r="R17" s="5"/>
      <c r="S17" s="5"/>
      <c r="Y17" s="28"/>
    </row>
    <row r="18" spans="1:25" ht="12.75" customHeight="1">
      <c r="A18" s="38" t="s">
        <v>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21">
        <f>2653971.32/1000</f>
        <v>2653.9713199999997</v>
      </c>
      <c r="O18" s="5"/>
      <c r="P18" s="5"/>
      <c r="Q18" s="5"/>
      <c r="R18" s="5"/>
      <c r="S18" s="5"/>
      <c r="Y18" s="29"/>
    </row>
    <row r="19" spans="1:25" ht="15" customHeight="1">
      <c r="A19" s="53" t="s">
        <v>10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  <c r="O19" s="5"/>
      <c r="P19" s="5"/>
      <c r="Q19" s="5"/>
      <c r="R19" s="5"/>
      <c r="S19" s="5"/>
      <c r="Y19" s="30"/>
    </row>
    <row r="20" spans="1:19" ht="102">
      <c r="A20" s="11">
        <v>3</v>
      </c>
      <c r="B20" s="12" t="s">
        <v>40</v>
      </c>
      <c r="C20" s="25" t="s">
        <v>54</v>
      </c>
      <c r="D20" s="13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6 * 4991 * 1,1</v>
      </c>
      <c r="E20" s="14">
        <f>IF(6="","0",6)</f>
        <v>6</v>
      </c>
      <c r="F20" s="14" t="str">
        <f ca="1">IF(INDIRECT("J"&amp;ROW())="текущие цены",IF(INDIRECT("G"&amp;ROW())="","0","0"),IF(INDIRECT("G"&amp;ROW())="","5490.1","4991"))</f>
        <v>4991</v>
      </c>
      <c r="G20" s="14" t="s">
        <v>32</v>
      </c>
      <c r="H20" s="14"/>
      <c r="I20" s="14"/>
      <c r="J20" s="14" t="s">
        <v>7</v>
      </c>
      <c r="K20" s="14" t="s">
        <v>33</v>
      </c>
      <c r="L20" s="14">
        <v>2</v>
      </c>
      <c r="M20" s="14" t="s">
        <v>11</v>
      </c>
      <c r="N20" s="15">
        <f ca="1">IF(INDIRECT("J"&amp;ROW())="текущие цены",0/1000,32940.6/1000)</f>
        <v>32.940599999999996</v>
      </c>
      <c r="O20" s="5"/>
      <c r="P20" s="5"/>
      <c r="Q20" s="5"/>
      <c r="R20" s="5"/>
      <c r="S20" s="5"/>
    </row>
    <row r="21" spans="1:19" ht="89.25">
      <c r="A21" s="11">
        <v>4</v>
      </c>
      <c r="B21" s="12" t="s">
        <v>41</v>
      </c>
      <c r="C21" s="25" t="s">
        <v>55</v>
      </c>
      <c r="D21" s="13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6 * 1692 </v>
      </c>
      <c r="E21" s="14">
        <f>IF(6="","0",6)</f>
        <v>6</v>
      </c>
      <c r="F21" s="14" t="str">
        <f ca="1">IF(INDIRECT("J"&amp;ROW())="текущие цены",IF(INDIRECT("G"&amp;ROW())="","0","0"),IF(INDIRECT("G"&amp;ROW())="","1692","1692"))</f>
        <v>1692</v>
      </c>
      <c r="G21" s="14"/>
      <c r="H21" s="14"/>
      <c r="I21" s="14"/>
      <c r="J21" s="14" t="s">
        <v>7</v>
      </c>
      <c r="K21" s="14"/>
      <c r="L21" s="14">
        <v>2</v>
      </c>
      <c r="M21" s="14" t="s">
        <v>11</v>
      </c>
      <c r="N21" s="15">
        <f ca="1">IF(INDIRECT("J"&amp;ROW())="текущие цены",0/1000,10152/1000)</f>
        <v>10.152</v>
      </c>
      <c r="O21" s="5"/>
      <c r="P21" s="5"/>
      <c r="Q21" s="5"/>
      <c r="R21" s="5"/>
      <c r="S21" s="5"/>
    </row>
    <row r="22" spans="1:19" ht="114.75">
      <c r="A22" s="16">
        <v>5</v>
      </c>
      <c r="B22" s="17" t="s">
        <v>42</v>
      </c>
      <c r="C22" s="26" t="s">
        <v>56</v>
      </c>
      <c r="D22" s="18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4 * 1723.7 </v>
      </c>
      <c r="E22" s="19">
        <f>IF(4="","0",4)</f>
        <v>4</v>
      </c>
      <c r="F22" s="19" t="str">
        <f ca="1">IF(INDIRECT("J"&amp;ROW())="текущие цены",IF(INDIRECT("G"&amp;ROW())="","0","0"),IF(INDIRECT("G"&amp;ROW())="","1723.7","1723.7"))</f>
        <v>1723.7</v>
      </c>
      <c r="G22" s="19"/>
      <c r="H22" s="19"/>
      <c r="I22" s="19"/>
      <c r="J22" s="19" t="s">
        <v>7</v>
      </c>
      <c r="K22" s="19"/>
      <c r="L22" s="19">
        <v>2</v>
      </c>
      <c r="M22" s="19" t="s">
        <v>12</v>
      </c>
      <c r="N22" s="20">
        <f ca="1">IF(INDIRECT("J"&amp;ROW())="текущие цены",0/1000,6894.8/1000)</f>
        <v>6.8948</v>
      </c>
      <c r="O22" s="5"/>
      <c r="P22" s="5"/>
      <c r="Q22" s="5"/>
      <c r="R22" s="5"/>
      <c r="S22" s="5"/>
    </row>
    <row r="23" spans="1:25" ht="12.75" customHeight="1">
      <c r="A23" s="52" t="s">
        <v>69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15">
        <f>49987.4/1000</f>
        <v>49.9874</v>
      </c>
      <c r="O23" s="5"/>
      <c r="P23" s="5"/>
      <c r="Q23" s="5"/>
      <c r="R23" s="5"/>
      <c r="S23" s="5"/>
      <c r="Y23" s="28"/>
    </row>
    <row r="24" spans="1:25" ht="12.75" customHeight="1">
      <c r="A24" s="38" t="s">
        <v>13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1">
        <f>196450.48/1000</f>
        <v>196.45048</v>
      </c>
      <c r="O24" s="5"/>
      <c r="P24" s="5"/>
      <c r="Q24" s="5"/>
      <c r="R24" s="5"/>
      <c r="S24" s="5"/>
      <c r="Y24" s="29"/>
    </row>
    <row r="25" spans="1:25" ht="15" customHeight="1">
      <c r="A25" s="53" t="s">
        <v>14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  <c r="O25" s="5"/>
      <c r="P25" s="5"/>
      <c r="Q25" s="5"/>
      <c r="R25" s="5"/>
      <c r="S25" s="5"/>
      <c r="Y25" s="30"/>
    </row>
    <row r="26" spans="1:25" ht="12.75" customHeight="1">
      <c r="A26" s="49" t="s">
        <v>15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1"/>
      <c r="O26" s="5"/>
      <c r="P26" s="5"/>
      <c r="Q26" s="5"/>
      <c r="R26" s="5"/>
      <c r="S26" s="5"/>
      <c r="Y26" s="28"/>
    </row>
    <row r="27" spans="1:19" ht="114.75">
      <c r="A27" s="11">
        <v>6</v>
      </c>
      <c r="B27" s="12" t="s">
        <v>43</v>
      </c>
      <c r="C27" s="25" t="s">
        <v>57</v>
      </c>
      <c r="D27" s="13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20 * 36 * 0,9</v>
      </c>
      <c r="E27" s="14">
        <f>IF(20="","0",20)</f>
        <v>20</v>
      </c>
      <c r="F27" s="14" t="str">
        <f ca="1">IF(INDIRECT("J"&amp;ROW())="текущие цены",IF(INDIRECT("G"&amp;ROW())="","0","0"),IF(INDIRECT("G"&amp;ROW())="","32.4","36"))</f>
        <v>36</v>
      </c>
      <c r="G27" s="14" t="s">
        <v>34</v>
      </c>
      <c r="H27" s="14"/>
      <c r="I27" s="14"/>
      <c r="J27" s="14" t="s">
        <v>7</v>
      </c>
      <c r="K27" s="14" t="s">
        <v>35</v>
      </c>
      <c r="L27" s="14">
        <v>3</v>
      </c>
      <c r="M27" s="14" t="s">
        <v>16</v>
      </c>
      <c r="N27" s="15">
        <f ca="1">IF(INDIRECT("J"&amp;ROW())="текущие цены",0/1000,648/1000)</f>
        <v>0.648</v>
      </c>
      <c r="O27" s="5"/>
      <c r="P27" s="5"/>
      <c r="Q27" s="5"/>
      <c r="R27" s="5"/>
      <c r="S27" s="5"/>
    </row>
    <row r="28" spans="1:19" ht="51">
      <c r="A28" s="11">
        <v>7</v>
      </c>
      <c r="B28" s="12" t="s">
        <v>44</v>
      </c>
      <c r="C28" s="25" t="s">
        <v>58</v>
      </c>
      <c r="D28" s="13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5 * 22.9 </v>
      </c>
      <c r="E28" s="14">
        <f>IF(5="","0",5)</f>
        <v>5</v>
      </c>
      <c r="F28" s="14" t="str">
        <f ca="1">IF(INDIRECT("J"&amp;ROW())="текущие цены",IF(INDIRECT("G"&amp;ROW())="","0","0"),IF(INDIRECT("G"&amp;ROW())="","22.9","22.9"))</f>
        <v>22.9</v>
      </c>
      <c r="G28" s="14"/>
      <c r="H28" s="14"/>
      <c r="I28" s="14"/>
      <c r="J28" s="14" t="s">
        <v>7</v>
      </c>
      <c r="K28" s="14"/>
      <c r="L28" s="14">
        <v>3</v>
      </c>
      <c r="M28" s="14" t="s">
        <v>17</v>
      </c>
      <c r="N28" s="15">
        <f ca="1">IF(INDIRECT("J"&amp;ROW())="текущие цены",0/1000,114.5/1000)</f>
        <v>0.1145</v>
      </c>
      <c r="O28" s="5"/>
      <c r="P28" s="5"/>
      <c r="Q28" s="5"/>
      <c r="R28" s="5"/>
      <c r="S28" s="5"/>
    </row>
    <row r="29" spans="1:25" ht="12.75" customHeight="1">
      <c r="A29" s="49" t="s">
        <v>18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1"/>
      <c r="O29" s="5"/>
      <c r="P29" s="5"/>
      <c r="Q29" s="5"/>
      <c r="R29" s="5"/>
      <c r="S29" s="5"/>
      <c r="Y29" s="28"/>
    </row>
    <row r="30" spans="1:19" ht="127.5">
      <c r="A30" s="11">
        <v>8</v>
      </c>
      <c r="B30" s="12" t="s">
        <v>45</v>
      </c>
      <c r="C30" s="25" t="s">
        <v>59</v>
      </c>
      <c r="D30" s="13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20 * 109.9 </v>
      </c>
      <c r="E30" s="14">
        <f>IF(20="","0",20)</f>
        <v>20</v>
      </c>
      <c r="F30" s="14" t="str">
        <f ca="1">IF(INDIRECT("J"&amp;ROW())="текущие цены",IF(INDIRECT("G"&amp;ROW())="","0","0"),IF(INDIRECT("G"&amp;ROW())="","109.9","109.9"))</f>
        <v>109.9</v>
      </c>
      <c r="G30" s="14"/>
      <c r="H30" s="14"/>
      <c r="I30" s="14"/>
      <c r="J30" s="14" t="s">
        <v>7</v>
      </c>
      <c r="K30" s="14"/>
      <c r="L30" s="14">
        <v>3</v>
      </c>
      <c r="M30" s="14" t="s">
        <v>19</v>
      </c>
      <c r="N30" s="15">
        <f ca="1">IF(INDIRECT("J"&amp;ROW())="текущие цены",0/1000,2198/1000)</f>
        <v>2.198</v>
      </c>
      <c r="O30" s="5"/>
      <c r="P30" s="5"/>
      <c r="Q30" s="5"/>
      <c r="R30" s="5"/>
      <c r="S30" s="5"/>
    </row>
    <row r="31" spans="1:19" ht="38.25">
      <c r="A31" s="11">
        <v>9</v>
      </c>
      <c r="B31" s="12" t="s">
        <v>46</v>
      </c>
      <c r="C31" s="25" t="s">
        <v>60</v>
      </c>
      <c r="D31" s="13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5 * 45.7 </v>
      </c>
      <c r="E31" s="14">
        <f>IF(5="","0",5)</f>
        <v>5</v>
      </c>
      <c r="F31" s="14" t="str">
        <f ca="1">IF(INDIRECT("J"&amp;ROW())="текущие цены",IF(INDIRECT("G"&amp;ROW())="","0","0"),IF(INDIRECT("G"&amp;ROW())="","45.7","45.7"))</f>
        <v>45.7</v>
      </c>
      <c r="G31" s="14"/>
      <c r="H31" s="14"/>
      <c r="I31" s="14"/>
      <c r="J31" s="14" t="s">
        <v>7</v>
      </c>
      <c r="K31" s="14"/>
      <c r="L31" s="14">
        <v>3</v>
      </c>
      <c r="M31" s="14" t="s">
        <v>20</v>
      </c>
      <c r="N31" s="15">
        <f ca="1">IF(INDIRECT("J"&amp;ROW())="текущие цены",0/1000,228.5/1000)</f>
        <v>0.2285</v>
      </c>
      <c r="O31" s="5"/>
      <c r="P31" s="5"/>
      <c r="Q31" s="5"/>
      <c r="R31" s="5"/>
      <c r="S31" s="5"/>
    </row>
    <row r="32" spans="1:25" ht="12.75" customHeight="1">
      <c r="A32" s="49" t="s">
        <v>21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/>
      <c r="O32" s="5"/>
      <c r="P32" s="5"/>
      <c r="Q32" s="5"/>
      <c r="R32" s="5"/>
      <c r="S32" s="5"/>
      <c r="Y32" s="28"/>
    </row>
    <row r="33" spans="1:19" ht="76.5">
      <c r="A33" s="11">
        <v>10</v>
      </c>
      <c r="B33" s="12" t="s">
        <v>47</v>
      </c>
      <c r="C33" s="25" t="s">
        <v>61</v>
      </c>
      <c r="D33" s="13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10 * 7 </v>
      </c>
      <c r="E33" s="14">
        <f>IF(10="","0",10)</f>
        <v>10</v>
      </c>
      <c r="F33" s="14" t="str">
        <f ca="1">IF(INDIRECT("J"&amp;ROW())="текущие цены",IF(INDIRECT("G"&amp;ROW())="","0","0"),IF(INDIRECT("G"&amp;ROW())="","7","7"))</f>
        <v>7</v>
      </c>
      <c r="G33" s="14"/>
      <c r="H33" s="14"/>
      <c r="I33" s="14"/>
      <c r="J33" s="14" t="s">
        <v>7</v>
      </c>
      <c r="K33" s="14"/>
      <c r="L33" s="14">
        <v>3</v>
      </c>
      <c r="M33" s="14" t="s">
        <v>22</v>
      </c>
      <c r="N33" s="15">
        <f ca="1">IF(INDIRECT("J"&amp;ROW())="текущие цены",0/1000,70/1000)</f>
        <v>0.07</v>
      </c>
      <c r="O33" s="5"/>
      <c r="P33" s="5"/>
      <c r="Q33" s="5"/>
      <c r="R33" s="5"/>
      <c r="S33" s="5"/>
    </row>
    <row r="34" spans="1:19" ht="89.25">
      <c r="A34" s="16">
        <v>11</v>
      </c>
      <c r="B34" s="17" t="s">
        <v>48</v>
      </c>
      <c r="C34" s="26" t="s">
        <v>62</v>
      </c>
      <c r="D34" s="18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(0,2) * 1327.5 </v>
      </c>
      <c r="E34" s="19">
        <f>IF(0.2="","0",0.2)</f>
        <v>0.2</v>
      </c>
      <c r="F34" s="19" t="str">
        <f ca="1">IF(INDIRECT("J"&amp;ROW())="текущие цены",IF(INDIRECT("G"&amp;ROW())="","0","0"),IF(INDIRECT("G"&amp;ROW())="","1327.5","1327.5"))</f>
        <v>1327.5</v>
      </c>
      <c r="G34" s="19"/>
      <c r="H34" s="22">
        <v>0.2</v>
      </c>
      <c r="I34" s="19"/>
      <c r="J34" s="19" t="s">
        <v>7</v>
      </c>
      <c r="K34" s="19"/>
      <c r="L34" s="19">
        <v>3</v>
      </c>
      <c r="M34" s="19" t="s">
        <v>23</v>
      </c>
      <c r="N34" s="20">
        <f ca="1">IF(INDIRECT("J"&amp;ROW())="текущие цены",0/1000,265.5/1000)</f>
        <v>0.2655</v>
      </c>
      <c r="O34" s="5"/>
      <c r="P34" s="5"/>
      <c r="Q34" s="5"/>
      <c r="R34" s="5"/>
      <c r="S34" s="5"/>
    </row>
    <row r="35" spans="1:25" ht="12.75" customHeight="1">
      <c r="A35" s="52" t="s">
        <v>69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15">
        <f>3524.5/1000</f>
        <v>3.5245</v>
      </c>
      <c r="O35" s="5"/>
      <c r="P35" s="5"/>
      <c r="Q35" s="5"/>
      <c r="R35" s="5"/>
      <c r="S35" s="5"/>
      <c r="Y35" s="28"/>
    </row>
    <row r="36" spans="1:25" ht="25.5" customHeight="1">
      <c r="A36" s="38" t="s">
        <v>24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21">
        <f>156840.25/1000</f>
        <v>156.84025</v>
      </c>
      <c r="O36" s="5"/>
      <c r="P36" s="5"/>
      <c r="Q36" s="5"/>
      <c r="R36" s="5"/>
      <c r="S36" s="5"/>
      <c r="Y36" s="29"/>
    </row>
    <row r="37" spans="1:25" ht="15" customHeight="1">
      <c r="A37" s="53" t="s">
        <v>25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  <c r="O37" s="5"/>
      <c r="P37" s="5"/>
      <c r="Q37" s="5"/>
      <c r="R37" s="5"/>
      <c r="S37" s="5"/>
      <c r="Y37" s="30"/>
    </row>
    <row r="38" spans="1:19" ht="51">
      <c r="A38" s="11">
        <v>12</v>
      </c>
      <c r="B38" s="12" t="s">
        <v>49</v>
      </c>
      <c r="C38" s="25" t="s">
        <v>63</v>
      </c>
      <c r="D38" s="13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5 * 18 </v>
      </c>
      <c r="E38" s="14">
        <f>IF(5="","0",5)</f>
        <v>5</v>
      </c>
      <c r="F38" s="14" t="str">
        <f ca="1">IF(INDIRECT("J"&amp;ROW())="текущие цены",IF(INDIRECT("G"&amp;ROW())="","0","0"),IF(INDIRECT("G"&amp;ROW())="","18","18"))</f>
        <v>18</v>
      </c>
      <c r="G38" s="14"/>
      <c r="H38" s="14"/>
      <c r="I38" s="14"/>
      <c r="J38" s="14" t="s">
        <v>7</v>
      </c>
      <c r="K38" s="14"/>
      <c r="L38" s="14">
        <v>4</v>
      </c>
      <c r="M38" s="14" t="s">
        <v>26</v>
      </c>
      <c r="N38" s="15">
        <f ca="1">IF(INDIRECT("J"&amp;ROW())="текущие цены",0/1000,90/1000)</f>
        <v>0.09</v>
      </c>
      <c r="O38" s="5"/>
      <c r="P38" s="5"/>
      <c r="Q38" s="5"/>
      <c r="R38" s="5"/>
      <c r="S38" s="5"/>
    </row>
    <row r="39" spans="1:19" ht="63.75">
      <c r="A39" s="11">
        <v>13</v>
      </c>
      <c r="B39" s="12" t="s">
        <v>50</v>
      </c>
      <c r="C39" s="25" t="s">
        <v>64</v>
      </c>
      <c r="D39" s="13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5 * 6 </v>
      </c>
      <c r="E39" s="14">
        <f>IF(5="","0",5)</f>
        <v>5</v>
      </c>
      <c r="F39" s="14" t="str">
        <f ca="1">IF(INDIRECT("J"&amp;ROW())="текущие цены",IF(INDIRECT("G"&amp;ROW())="","0","0"),IF(INDIRECT("G"&amp;ROW())="","6","6"))</f>
        <v>6</v>
      </c>
      <c r="G39" s="14"/>
      <c r="H39" s="14"/>
      <c r="I39" s="14"/>
      <c r="J39" s="14" t="s">
        <v>7</v>
      </c>
      <c r="K39" s="14"/>
      <c r="L39" s="14">
        <v>4</v>
      </c>
      <c r="M39" s="14" t="s">
        <v>26</v>
      </c>
      <c r="N39" s="15">
        <f ca="1">IF(INDIRECT("J"&amp;ROW())="текущие цены",0/1000,30/1000)</f>
        <v>0.03</v>
      </c>
      <c r="O39" s="5"/>
      <c r="P39" s="5"/>
      <c r="Q39" s="5"/>
      <c r="R39" s="5"/>
      <c r="S39" s="5"/>
    </row>
    <row r="40" spans="1:19" ht="102">
      <c r="A40" s="16">
        <v>14</v>
      </c>
      <c r="B40" s="17" t="s">
        <v>51</v>
      </c>
      <c r="C40" s="26" t="s">
        <v>65</v>
      </c>
      <c r="D40" s="18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(0,55) * 30 </v>
      </c>
      <c r="E40" s="19">
        <f>IF(0.55="","0",0.55)</f>
        <v>0.55</v>
      </c>
      <c r="F40" s="19" t="str">
        <f ca="1">IF(INDIRECT("J"&amp;ROW())="текущие цены",IF(INDIRECT("G"&amp;ROW())="","0","0"),IF(INDIRECT("G"&amp;ROW())="","30","30"))</f>
        <v>30</v>
      </c>
      <c r="G40" s="19"/>
      <c r="H40" s="22">
        <v>0.55</v>
      </c>
      <c r="I40" s="19"/>
      <c r="J40" s="19" t="s">
        <v>7</v>
      </c>
      <c r="K40" s="19"/>
      <c r="L40" s="19">
        <v>4</v>
      </c>
      <c r="M40" s="19" t="s">
        <v>27</v>
      </c>
      <c r="N40" s="20">
        <f ca="1">IF(INDIRECT("J"&amp;ROW())="текущие цены",0/1000,16.5/1000)</f>
        <v>0.0165</v>
      </c>
      <c r="O40" s="5"/>
      <c r="P40" s="5"/>
      <c r="Q40" s="5"/>
      <c r="R40" s="5"/>
      <c r="S40" s="5"/>
    </row>
    <row r="41" spans="1:25" ht="12.75" customHeight="1">
      <c r="A41" s="52" t="s">
        <v>69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15">
        <f>136.5/1000</f>
        <v>0.1365</v>
      </c>
      <c r="O41" s="5"/>
      <c r="P41" s="5"/>
      <c r="Q41" s="5"/>
      <c r="R41" s="5"/>
      <c r="S41" s="5"/>
      <c r="Y41" s="28"/>
    </row>
    <row r="42" spans="1:25" ht="12.75" customHeight="1">
      <c r="A42" s="38" t="s">
        <v>28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21">
        <f>536.45/1000</f>
        <v>0.5364500000000001</v>
      </c>
      <c r="O42" s="5"/>
      <c r="P42" s="5"/>
      <c r="Q42" s="5"/>
      <c r="R42" s="5"/>
      <c r="S42" s="5"/>
      <c r="Y42" s="29"/>
    </row>
    <row r="43" spans="1:25" ht="12.75" customHeight="1">
      <c r="A43" s="43" t="s">
        <v>70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23">
        <f>730681.9/1000</f>
        <v>730.6819</v>
      </c>
      <c r="O43" s="5"/>
      <c r="P43" s="5"/>
      <c r="Q43" s="5"/>
      <c r="R43" s="5"/>
      <c r="S43" s="5"/>
      <c r="Y43" s="28"/>
    </row>
    <row r="44" spans="1:25" ht="12.75" customHeight="1" outlineLevel="1">
      <c r="A44" s="45" t="s">
        <v>29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24"/>
      <c r="O44" s="5"/>
      <c r="P44" s="5"/>
      <c r="Q44" s="5"/>
      <c r="R44" s="5"/>
      <c r="S44" s="5"/>
      <c r="Y44" s="29"/>
    </row>
    <row r="45" spans="1:25" ht="12.75" outlineLevel="1">
      <c r="A45" s="43" t="s">
        <v>66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23">
        <f>2653971.32/1000</f>
        <v>2653.9713199999997</v>
      </c>
      <c r="O45" s="5"/>
      <c r="P45" s="5"/>
      <c r="Q45" s="5"/>
      <c r="R45" s="5"/>
      <c r="S45" s="5"/>
      <c r="Y45" s="28"/>
    </row>
    <row r="46" spans="1:25" ht="12.75" outlineLevel="1">
      <c r="A46" s="43" t="s">
        <v>67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23">
        <f>196986.93/1000</f>
        <v>196.98693</v>
      </c>
      <c r="O46" s="5"/>
      <c r="P46" s="5"/>
      <c r="Q46" s="5"/>
      <c r="R46" s="5"/>
      <c r="S46" s="5"/>
      <c r="Y46" s="28"/>
    </row>
    <row r="47" spans="1:25" ht="12.75" outlineLevel="1">
      <c r="A47" s="43" t="s">
        <v>68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23">
        <f>156840.25/1000</f>
        <v>156.84025</v>
      </c>
      <c r="O47" s="5"/>
      <c r="P47" s="5"/>
      <c r="Q47" s="5"/>
      <c r="R47" s="5"/>
      <c r="S47" s="5"/>
      <c r="Y47" s="28"/>
    </row>
    <row r="48" spans="1:25" ht="12.75" customHeight="1" outlineLevel="1">
      <c r="A48" s="43" t="s">
        <v>30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23">
        <f>541403.73/1000</f>
        <v>541.40373</v>
      </c>
      <c r="O48" s="5"/>
      <c r="P48" s="5"/>
      <c r="Q48" s="5"/>
      <c r="R48" s="5"/>
      <c r="S48" s="5"/>
      <c r="Y48" s="28"/>
    </row>
    <row r="49" spans="1:25" ht="12.75" customHeight="1">
      <c r="A49" s="45" t="s">
        <v>31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24">
        <f>3549202.23/1000</f>
        <v>3549.20223</v>
      </c>
      <c r="O49" s="5"/>
      <c r="P49" s="5"/>
      <c r="Q49" s="5"/>
      <c r="R49" s="5"/>
      <c r="S49" s="5"/>
      <c r="Y49" s="29"/>
    </row>
    <row r="50" spans="1:1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6"/>
      <c r="P50" s="6"/>
      <c r="Q50" s="6"/>
      <c r="R50" s="6"/>
      <c r="S50" s="6"/>
    </row>
    <row r="51" spans="1:14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7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25" ht="12.75">
      <c r="A53" s="59" t="s">
        <v>72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35"/>
      <c r="O53" s="35"/>
      <c r="P53" s="35"/>
      <c r="Q53" s="35"/>
      <c r="R53" s="34"/>
      <c r="S53" s="34"/>
      <c r="T53" s="34"/>
      <c r="U53" s="34"/>
      <c r="V53" s="34"/>
      <c r="W53" s="34"/>
      <c r="X53" s="34"/>
      <c r="Y53" s="34"/>
    </row>
    <row r="54" spans="1:25" ht="12.75">
      <c r="A54" s="61" t="s">
        <v>73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35"/>
      <c r="O54" s="35"/>
      <c r="P54" s="35"/>
      <c r="Q54" s="35"/>
      <c r="R54" s="34"/>
      <c r="S54" s="34"/>
      <c r="T54" s="34"/>
      <c r="U54" s="34"/>
      <c r="V54" s="34"/>
      <c r="W54" s="34"/>
      <c r="X54" s="34"/>
      <c r="Y54" s="34"/>
    </row>
    <row r="55" spans="2:14" ht="12.75">
      <c r="B55" s="2"/>
      <c r="C55" s="7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7" spans="1:14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</row>
  </sheetData>
  <sheetProtection/>
  <mergeCells count="33">
    <mergeCell ref="A57:N57"/>
    <mergeCell ref="A8:N8"/>
    <mergeCell ref="A9:N9"/>
    <mergeCell ref="A14:N14"/>
    <mergeCell ref="A17:M17"/>
    <mergeCell ref="A53:M53"/>
    <mergeCell ref="A54:M54"/>
    <mergeCell ref="A42:M42"/>
    <mergeCell ref="A43:M43"/>
    <mergeCell ref="A44:M44"/>
    <mergeCell ref="A45:M45"/>
    <mergeCell ref="A46:M46"/>
    <mergeCell ref="A47:M47"/>
    <mergeCell ref="A48:M48"/>
    <mergeCell ref="A49:M49"/>
    <mergeCell ref="A10:N10"/>
    <mergeCell ref="A29:N29"/>
    <mergeCell ref="A32:N32"/>
    <mergeCell ref="A35:M35"/>
    <mergeCell ref="A36:M36"/>
    <mergeCell ref="A37:N37"/>
    <mergeCell ref="A41:M41"/>
    <mergeCell ref="A18:M18"/>
    <mergeCell ref="A19:N19"/>
    <mergeCell ref="A23:M23"/>
    <mergeCell ref="A25:N25"/>
    <mergeCell ref="A26:N26"/>
    <mergeCell ref="A24:M24"/>
    <mergeCell ref="C1:N1"/>
    <mergeCell ref="C2:N2"/>
    <mergeCell ref="C3:N3"/>
    <mergeCell ref="C4:N4"/>
    <mergeCell ref="C5:N5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portrait" paperSize="9" scale="98" r:id="rId4"/>
  <headerFooter alignWithMargins="0">
    <oddHeader>&amp;LГРАНД-Смета</oddHeader>
    <oddFooter>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2:A12"/>
  <sheetViews>
    <sheetView zoomScalePageLayoutView="0" workbookViewId="0" topLeftCell="A1">
      <selection activeCell="A12" sqref="A12"/>
    </sheetView>
  </sheetViews>
  <sheetFormatPr defaultColWidth="9.00390625" defaultRowHeight="12.75"/>
  <sheetData>
    <row r="12" ht="12.75">
      <c r="A12">
        <f>MAX('Мои данные'!L:L)</f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YuKazaeva</dc:creator>
  <cp:keywords/>
  <dc:description>17.05.2010</dc:description>
  <cp:lastModifiedBy>e.plahova</cp:lastModifiedBy>
  <cp:lastPrinted>2009-09-21T09:31:36Z</cp:lastPrinted>
  <dcterms:created xsi:type="dcterms:W3CDTF">2007-02-21T08:42:24Z</dcterms:created>
  <dcterms:modified xsi:type="dcterms:W3CDTF">2016-12-05T13:48:50Z</dcterms:modified>
  <cp:category/>
  <cp:version/>
  <cp:contentType/>
  <cp:contentStatus/>
</cp:coreProperties>
</file>