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5" yWindow="5970" windowWidth="15420" windowHeight="5715" activeTab="0"/>
  </bookViews>
  <sheets>
    <sheet name="Мои данные" sheetId="1" r:id="rId1"/>
    <sheet name="Вспомогательный" sheetId="2" state="hidden" r:id="rId2"/>
  </sheets>
  <definedNames>
    <definedName name="_xlnm.Print_Titles" localSheetId="0">'Мои данные'!$15:$15</definedName>
    <definedName name="_xlnm.Print_Area" localSheetId="0">'Мои данные'!$A$1:$N$61</definedName>
  </definedNames>
  <calcPr fullCalcOnLoad="1"/>
</workbook>
</file>

<file path=xl/comments1.xml><?xml version="1.0" encoding="utf-8"?>
<comments xmlns="http://schemas.openxmlformats.org/spreadsheetml/2006/main">
  <authors>
    <author>Сергей</author>
    <author>Alex</author>
    <author>Alex Sosedko</author>
  </authors>
  <commentList>
    <comment ref="A8" authorId="0">
      <text>
        <r>
          <rPr>
            <sz val="8"/>
            <rFont val="Tahoma"/>
            <family val="2"/>
          </rPr>
          <t xml:space="preserve"> &lt;Индекс/ЛН расчета&gt;</t>
        </r>
      </text>
    </comment>
    <comment ref="C60" authorId="1">
      <text>
        <r>
          <rPr>
            <b/>
            <sz val="8"/>
            <rFont val="Tahoma"/>
            <family val="2"/>
          </rPr>
          <t xml:space="preserve"> &lt;Составил&gt;</t>
        </r>
      </text>
    </comment>
    <comment ref="A15" authorId="0">
      <text>
        <r>
          <rPr>
            <sz val="8"/>
            <rFont val="Tahoma"/>
            <family val="2"/>
          </rPr>
          <t xml:space="preserve"> &lt;Номер позиции по смете&gt;</t>
        </r>
      </text>
    </comment>
    <comment ref="B15" authorId="0">
      <text>
        <r>
          <rPr>
            <sz val="8"/>
            <rFont val="Tahoma"/>
            <family val="2"/>
          </rPr>
          <t xml:space="preserve"> &lt;Наименование (текстовая часть) расценки&gt;</t>
        </r>
      </text>
    </comment>
    <comment ref="C15" authorId="2">
      <text>
        <r>
          <rPr>
            <sz val="8"/>
            <rFont val="Tahoma"/>
            <family val="2"/>
          </rPr>
          <t xml:space="preserve"> &lt;Обоснование (код) позиции&gt;
&lt;Комментарии из базы данных к расценке&gt;
Примечание: &lt;Примечание&gt;</t>
        </r>
      </text>
    </comment>
    <comment ref="C57" authorId="0">
      <text>
        <r>
          <rPr>
            <sz val="8"/>
            <rFont val="Tahoma"/>
            <family val="2"/>
          </rPr>
          <t xml:space="preserve"> &lt;подпись 360 значение&gt;</t>
        </r>
      </text>
    </comment>
    <comment ref="A48" authorId="0">
      <text>
        <r>
          <rPr>
            <sz val="8"/>
            <rFont val="Tahoma"/>
            <family val="2"/>
          </rPr>
          <t xml:space="preserve"> &lt;Текстовая часть (итоги)&gt;</t>
        </r>
      </text>
    </comment>
    <comment ref="N48" authorId="0">
      <text>
        <r>
          <rPr>
            <sz val="8"/>
            <rFont val="Tahoma"/>
            <family val="2"/>
          </rPr>
          <t xml:space="preserve"> =&lt;Прямые затраты (итоги)&gt;/1000</t>
        </r>
      </text>
    </comment>
    <comment ref="E15" authorId="0">
      <text>
        <r>
          <rPr>
            <sz val="8"/>
            <rFont val="Tahoma"/>
            <family val="2"/>
          </rPr>
          <t xml:space="preserve"> =IF(&lt;Пустой идентификатор&gt;&lt;Количество всего (физ. объем) по позиции&gt; = "","0",&lt;Количество всего (физ. объем) по позиции&gt;)</t>
        </r>
      </text>
    </comment>
    <comment ref="F15" authorId="0">
      <text>
        <r>
          <rPr>
            <sz val="8"/>
            <rFont val="Tahoma"/>
            <family val="2"/>
          </rPr>
          <t xml:space="preserve"> =IF(INDIRECT("J" &amp; ROW())="текущие цены", IF(INDIRECT("G" &amp; ROW())="", "&lt;ПЗ по позиции на единицу в текущих ценах с учетом всех к-тов&gt;", "&lt;ПЗ по позиции на единицу в текущих ценах&gt;"), IF(INDIRECT("G" &amp; ROW())="", "&lt;ПЗ по позиции на единицу в базисных ценах с учетом всех к-тов&gt;","&lt;ПЗ по позиции на единицу в базисных ценах&gt;")) </t>
        </r>
      </text>
    </comment>
    <comment ref="G15" authorId="0">
      <text>
        <r>
          <rPr>
            <sz val="8"/>
            <rFont val="Tahoma"/>
            <family val="2"/>
          </rPr>
          <t xml:space="preserve"> &lt;К-т к позиции на прямые затраты&gt;</t>
        </r>
      </text>
    </comment>
    <comment ref="H15" authorId="0">
      <text>
        <r>
          <rPr>
            <sz val="8"/>
            <rFont val="Tahoma"/>
            <family val="2"/>
          </rPr>
          <t xml:space="preserve"> &lt;Формула расчета физ. объема&gt;</t>
        </r>
      </text>
    </comment>
    <comment ref="N15" authorId="1">
      <text>
        <r>
          <rPr>
            <b/>
            <sz val="8"/>
            <rFont val="Tahoma"/>
            <family val="2"/>
          </rPr>
          <t xml:space="preserve"> =IF(INDIRECT("J" &amp; ROW())="текущие цены", &lt;ИТОГО ПЗ по позиции в текущих ценах&gt;/1000, &lt;ИТОГО ПЗ по позиции для БИМ&gt;/1000) 
</t>
        </r>
      </text>
    </comment>
    <comment ref="I15" authorId="0">
      <text>
        <r>
          <rPr>
            <sz val="8"/>
            <rFont val="Tahoma"/>
            <family val="2"/>
          </rPr>
          <t xml:space="preserve"> &lt;Формула расчета стоимости единицы&gt;</t>
        </r>
      </text>
    </comment>
    <comment ref="D15" authorId="0">
      <text>
        <r>
          <rPr>
            <sz val="8"/>
            <rFont val="Tahoma"/>
            <family val="2"/>
          </rPr>
          <t xml:space="preserve"> =IF(INDIRECT("H"&amp;ROW())="",INDIRECT("E"&amp;ROW()),"(" &amp; INDIRECT("H"&amp;ROW())&amp;")")&amp;IF(INDIRECT("F"&amp;ROW())="0", " * 0", IF(INDIRECT("F"&amp;ROW())="", IF(INDIRECT("I"&amp;ROW())=""," "," * "&amp;INDIRECT("I"&amp;ROW())), " * "&amp;INDIRECT("F"&amp;ROW())))&amp;IF(INDIRECT("G"&amp;ROW())="", " ", " * "&amp;INDIRECT("G"&amp;ROW()))&lt;Пустой идентификатор&gt;</t>
        </r>
      </text>
    </comment>
    <comment ref="J15" authorId="2">
      <text>
        <r>
          <rPr>
            <b/>
            <sz val="8"/>
            <rFont val="Tahoma"/>
            <family val="2"/>
          </rPr>
          <t xml:space="preserve"> &lt;Уровень цен позиции&gt;</t>
        </r>
      </text>
    </comment>
    <comment ref="A62" authorId="1">
      <text>
        <r>
          <rPr>
            <b/>
            <sz val="8"/>
            <rFont val="Tahoma"/>
            <family val="2"/>
          </rPr>
          <t xml:space="preserve"> &lt;Комментарии к смете&gt;</t>
        </r>
      </text>
    </comment>
    <comment ref="K15" authorId="2">
      <text>
        <r>
          <rPr>
            <sz val="8"/>
            <rFont val="Tahoma"/>
            <family val="2"/>
          </rPr>
          <t xml:space="preserve"> &lt;Обоснование коэффициентов&gt;</t>
        </r>
      </text>
    </comment>
    <comment ref="L15" authorId="1">
      <text>
        <r>
          <rPr>
            <b/>
            <sz val="8"/>
            <rFont val="Tahoma"/>
            <family val="2"/>
          </rPr>
          <t xml:space="preserve"> &lt;Номер раздела&gt;</t>
        </r>
      </text>
    </comment>
    <comment ref="M15" authorId="0">
      <text>
        <r>
          <rPr>
            <sz val="8"/>
            <rFont val="Tahoma"/>
            <family val="2"/>
          </rPr>
          <t xml:space="preserve"> &lt;Ед. измерения по расценке&gt;</t>
        </r>
      </text>
    </comment>
    <comment ref="A12" authorId="0">
      <text>
        <r>
          <rPr>
            <sz val="8"/>
            <rFont val="Tahoma"/>
            <family val="2"/>
          </rPr>
          <t xml:space="preserve"> &lt;Наименование стройки&gt;, &lt;Наименование объекта&gt;, &lt;Наименование локальной сметы&gt;</t>
        </r>
      </text>
    </comment>
    <comment ref="A58" authorId="0">
      <text>
        <r>
          <rPr>
            <sz val="8"/>
            <rFont val="Tahoma"/>
            <family val="2"/>
          </rPr>
          <t xml:space="preserve"> &lt;Проверил&gt;</t>
        </r>
      </text>
    </comment>
  </commentList>
</comments>
</file>

<file path=xl/sharedStrings.xml><?xml version="1.0" encoding="utf-8"?>
<sst xmlns="http://schemas.openxmlformats.org/spreadsheetml/2006/main" count="123" uniqueCount="90">
  <si>
    <t>№ пп</t>
  </si>
  <si>
    <t>Характеристика предприятия,
здания, сооружения или вид работ</t>
  </si>
  <si>
    <t>Номер частей, глав, таблиц,
параграфов и пунктов указаний к
разделу справочника базовых цен
на проектные и изыскательские
работы для строителей</t>
  </si>
  <si>
    <t>Расчет стоимости: (a+bx)*Kj или
(стоимость
строительно-монтажных
работ)*проц./ 100 или количество * цена, руб.</t>
  </si>
  <si>
    <t>Стоимость работ,    тыс. руб.</t>
  </si>
  <si>
    <t>Раздел 1. Инженерно-геодезические работы</t>
  </si>
  <si>
    <t>цены 2001</t>
  </si>
  <si>
    <t>км</t>
  </si>
  <si>
    <t>га</t>
  </si>
  <si>
    <t>УБЦ2 табл.4 п.1.</t>
  </si>
  <si>
    <t>7,5%</t>
  </si>
  <si>
    <t>%</t>
  </si>
  <si>
    <t xml:space="preserve">  Итого по разделу 1 Инженерно-геодезические работы</t>
  </si>
  <si>
    <t>Раздел 2. Инженерно-геологические и экологические работы</t>
  </si>
  <si>
    <t>Полевые работы</t>
  </si>
  <si>
    <t>1км маршрута</t>
  </si>
  <si>
    <t>м</t>
  </si>
  <si>
    <t>1 налив</t>
  </si>
  <si>
    <t>1 монолит</t>
  </si>
  <si>
    <t>Лабораторные работы</t>
  </si>
  <si>
    <t>1 образец</t>
  </si>
  <si>
    <t xml:space="preserve">  Итого по разделу 2 Инженерно-геологические и экологические работы</t>
  </si>
  <si>
    <t>Раздел 3. Проектные работы</t>
  </si>
  <si>
    <t>объект</t>
  </si>
  <si>
    <t xml:space="preserve">  Итого по разделу 3 Проектные работы</t>
  </si>
  <si>
    <t>Раздел 4. Экспертиза проекта</t>
  </si>
  <si>
    <t>ПП РФ  № 821 от 07.11.2008, № 840 от  23.09.2013, № 219 от 22.03.2014</t>
  </si>
  <si>
    <t>комплект</t>
  </si>
  <si>
    <t xml:space="preserve">  Итого по разделу 4 Экспертиза проекта</t>
  </si>
  <si>
    <t>Итоги по смете:</t>
  </si>
  <si>
    <t xml:space="preserve">  НДС 18%</t>
  </si>
  <si>
    <t xml:space="preserve">  ВСЕГО по смете</t>
  </si>
  <si>
    <t>Инженерно-геодезические изыскания трасс магистральных трубопроводов: 2 категории сложности - полевые работы
(км)</t>
  </si>
  <si>
    <t>Инженерно-геодезические изыскания трасс магистральных трубопроводов: 2 категории сложности - камеральные работы
(км)</t>
  </si>
  <si>
    <t>Создание инженерно-топографического плана на территории действующих промышленных предприятий, масштаб съемки 1:500, высота сечения рельефа 0,25 м: 1 категории сложности - полевые работы
(га)</t>
  </si>
  <si>
    <t>Создание инженерно-топографического плана на территории действующих промышленных предприятий, масштаб съемки 1:500, высота сечения рельефа 0,25 м: 1 категории сложности - камеральные работы
(га)</t>
  </si>
  <si>
    <t>Расходы по внутреннему транспорту при расстоянии от базы до участка изысканий до 5 км, при сметной ст-ти полевых изыск. работ 75-150 тыс. руб.
(%)</t>
  </si>
  <si>
    <t>Инженерно-геологическая, гидрогеологическая рекогносцировка при проходимости удовлетворительной: 2 категория сложности, полевые работы
(1км маршрута)</t>
  </si>
  <si>
    <t>Колонковое бурение скважины диаметром до 160мм, глубиной до 15м: категория породы 3
(м)</t>
  </si>
  <si>
    <t>Гидрогеологические наблюдения при бурении скважины диаметром до 160мм глубиной до 15м
(м)</t>
  </si>
  <si>
    <t>Экспресс-налив воды в шурф
(1 налив)</t>
  </si>
  <si>
    <t>Отбор монолитов из буровых скважин (связные грунты) с глубины до 10м
(1 монолит)</t>
  </si>
  <si>
    <t>Отбор монолитов из буровых скважин (связные грунты) с глубины св. 10 до 20м
(1 монолит)</t>
  </si>
  <si>
    <t>Расходы по внешнему транспорту в обоих направлениях изысканий, выполняемых в экспедиционных условиях, расстояние проезда и перевозки в одном направлении св. 25 до 100 км: % сметной стоимости изысканий продолжительностью до 1 мес. - 14,0
(%)</t>
  </si>
  <si>
    <t>Исследование консистенции при нарушенной структуре глинистых грунтов
(1 образец)</t>
  </si>
  <si>
    <t>Полный комплекс определений для глинистых грунтов с включениями частиц диаметром более 1мм (менее 10%)
(1 образец)</t>
  </si>
  <si>
    <t>Полный комплекс физико-механических свойств глинистого грунта с определением сопротивления грунта срезу (консолидированный срез) под нагрузкой до 0,6МПа
(1 образец)</t>
  </si>
  <si>
    <t>Единичные определения химического состава грунтов (почв): приготовление водной вытяжки
(1 образец)</t>
  </si>
  <si>
    <t>Анализ водной вытяжки с определением по разности суммы натрия и калия
(1 образец)</t>
  </si>
  <si>
    <t>Единичные определения химического состава грунтов (почв): определение солей тяжелых металлов без пробоподготовки методом атомной абсорбции (1 металл)
(1 образец)</t>
  </si>
  <si>
    <t>Единичные определения химического состава грунтов (почв): определение 25 химических элементов без пробоподготовки методом спектрального анализа
(1 образец)</t>
  </si>
  <si>
    <t>139040*1+228800*0,1</t>
  </si>
  <si>
    <t>Канализационная насосная станция перекачки бытовых сточных вод или неагрессивных и невзрывоопасных производственных сточных вод производительностью: до 0,25 тыс.м3/ч
(1 тыс.м3/ч)</t>
  </si>
  <si>
    <t>148040*1+120*5280</t>
  </si>
  <si>
    <t>Канализация (бытовая, дождевая, общесплавная), сооружаемая открытым способом, диаметр от 300 до 500 мм, протяженность св. 1000 до 5000 м
(м)</t>
  </si>
  <si>
    <t>Расчет стоимости экспертизы проектной документации (12,69%)
(комплект)</t>
  </si>
  <si>
    <r>
      <t xml:space="preserve">УБЦ  табл.13 п.1-2-1
</t>
    </r>
    <r>
      <rPr>
        <i/>
        <sz val="9"/>
        <rFont val="Arial"/>
        <family val="2"/>
      </rPr>
      <t>"Инж.-геодез. изыск.(2004 г.)"</t>
    </r>
  </si>
  <si>
    <r>
      <t xml:space="preserve">УБЦ  табл.13 п.1-2-2
</t>
    </r>
    <r>
      <rPr>
        <i/>
        <sz val="9"/>
        <rFont val="Arial"/>
        <family val="2"/>
      </rPr>
      <t>"Инж.-геодез. изыск.(2004 г.)"</t>
    </r>
  </si>
  <si>
    <r>
      <t xml:space="preserve">УБЦ  табл.9 п.1-3-1
</t>
    </r>
    <r>
      <rPr>
        <i/>
        <sz val="9"/>
        <rFont val="Arial"/>
        <family val="2"/>
      </rPr>
      <t>"Инж.-геодез. изыск.(2004 г.)"</t>
    </r>
  </si>
  <si>
    <r>
      <t xml:space="preserve">УБЦ  табл.9 п.1-3-2
</t>
    </r>
    <r>
      <rPr>
        <i/>
        <sz val="9"/>
        <rFont val="Arial"/>
        <family val="2"/>
      </rPr>
      <t>"Инж.-геодез. изыск.(2004 г.)"</t>
    </r>
  </si>
  <si>
    <r>
      <t xml:space="preserve">СБЦИ  табл.9 п.2-2-1
</t>
    </r>
    <r>
      <rPr>
        <i/>
        <sz val="9"/>
        <rFont val="Arial"/>
        <family val="2"/>
      </rPr>
      <t>"Инж.-геологические и инж.-экологич. изыскания (1999 г.)"</t>
    </r>
  </si>
  <si>
    <r>
      <t xml:space="preserve">СБЦИ  табл.17 п.1-3
</t>
    </r>
    <r>
      <rPr>
        <i/>
        <sz val="9"/>
        <rFont val="Arial"/>
        <family val="2"/>
      </rPr>
      <t>"Инж.-геологические и инж.-экологич. изыскания (1999 г.)"</t>
    </r>
  </si>
  <si>
    <r>
      <t xml:space="preserve">СБЦИ  табл.18 п.1-1
</t>
    </r>
    <r>
      <rPr>
        <i/>
        <sz val="9"/>
        <rFont val="Arial"/>
        <family val="2"/>
      </rPr>
      <t>"Инж.-геологические и инж.-экологич. изыскания (1999 г.)"</t>
    </r>
  </si>
  <si>
    <r>
      <t xml:space="preserve">СБЦИ  табл.36 п.3
</t>
    </r>
    <r>
      <rPr>
        <i/>
        <sz val="9"/>
        <rFont val="Arial"/>
        <family val="2"/>
      </rPr>
      <t>"Инж.-геологические и инж.-экологич. изыскания (1999 г.)"</t>
    </r>
  </si>
  <si>
    <r>
      <t xml:space="preserve">СБЦИ  табл.57 п.1-1
</t>
    </r>
    <r>
      <rPr>
        <i/>
        <sz val="9"/>
        <rFont val="Arial"/>
        <family val="2"/>
      </rPr>
      <t>"Инж.-геологические и инж.-экологич. изыскания (1999 г.)"</t>
    </r>
  </si>
  <si>
    <r>
      <t xml:space="preserve">СБЦИ  табл.57 п.2-1
</t>
    </r>
    <r>
      <rPr>
        <i/>
        <sz val="9"/>
        <rFont val="Arial"/>
        <family val="2"/>
      </rPr>
      <t>"Инж.-геологические и инж.-экологич. изыскания (1999 г.)"</t>
    </r>
  </si>
  <si>
    <r>
      <t xml:space="preserve">СБЦИ  табл.5 п.1-1
</t>
    </r>
    <r>
      <rPr>
        <i/>
        <sz val="9"/>
        <rFont val="Arial"/>
        <family val="2"/>
      </rPr>
      <t>"Инж.-геологические и инж.-экологич. изыскания (1999 г.)"</t>
    </r>
  </si>
  <si>
    <r>
      <t xml:space="preserve">СБЦИ  табл.63 п.3
</t>
    </r>
    <r>
      <rPr>
        <i/>
        <sz val="9"/>
        <rFont val="Arial"/>
        <family val="2"/>
      </rPr>
      <t>"Инж.-геологические и инж.-экологич. изыскания (1999 г.)"</t>
    </r>
  </si>
  <si>
    <r>
      <t xml:space="preserve">СБЦИ  табл.63 п.9
</t>
    </r>
    <r>
      <rPr>
        <i/>
        <sz val="9"/>
        <rFont val="Arial"/>
        <family val="2"/>
      </rPr>
      <t>"Инж.-геологические и инж.-экологич. изыскания (1999 г.)"</t>
    </r>
  </si>
  <si>
    <r>
      <t xml:space="preserve">СБЦИ  табл.63 п.25
</t>
    </r>
    <r>
      <rPr>
        <i/>
        <sz val="9"/>
        <rFont val="Arial"/>
        <family val="2"/>
      </rPr>
      <t>"Инж.-геологические и инж.-экологич. изыскания (1999 г.)"</t>
    </r>
  </si>
  <si>
    <r>
      <t xml:space="preserve">СБЦИ  табл.70 п.83
</t>
    </r>
    <r>
      <rPr>
        <i/>
        <sz val="9"/>
        <rFont val="Arial"/>
        <family val="2"/>
      </rPr>
      <t>"Инж.-геологические и инж.-экологич. изыскания (1999 г.)"</t>
    </r>
  </si>
  <si>
    <r>
      <t xml:space="preserve">СБЦИ  табл.71 п.1
</t>
    </r>
    <r>
      <rPr>
        <i/>
        <sz val="9"/>
        <rFont val="Arial"/>
        <family val="2"/>
      </rPr>
      <t>"Инж.-геологические и инж.-экологич. изыскания (1999 г.)"</t>
    </r>
  </si>
  <si>
    <r>
      <t xml:space="preserve">СБЦИ  табл.70 п.57
</t>
    </r>
    <r>
      <rPr>
        <i/>
        <sz val="9"/>
        <rFont val="Arial"/>
        <family val="2"/>
      </rPr>
      <t>"Инж.-геологические и инж.-экологич. изыскания (1999 г.)"</t>
    </r>
  </si>
  <si>
    <r>
      <t xml:space="preserve">СБЦИ  табл.70 п.61
</t>
    </r>
    <r>
      <rPr>
        <i/>
        <sz val="9"/>
        <rFont val="Arial"/>
        <family val="2"/>
      </rPr>
      <t>"Инж.-геологические и инж.-экологич. изыскания (1999 г.)"</t>
    </r>
  </si>
  <si>
    <r>
      <t xml:space="preserve">СБЦ  табл.9 п.01
</t>
    </r>
    <r>
      <rPr>
        <i/>
        <sz val="9"/>
        <rFont val="Arial"/>
        <family val="2"/>
      </rPr>
      <t xml:space="preserve"> Объекты водоснабжения и канализации (2008г.)</t>
    </r>
  </si>
  <si>
    <r>
      <t xml:space="preserve">СБЦ  табл.7 п.4
</t>
    </r>
    <r>
      <rPr>
        <i/>
        <sz val="9"/>
        <rFont val="Arial"/>
        <family val="2"/>
      </rPr>
      <t xml:space="preserve"> Городские инж. сооружения и коммуникации (2008г.)</t>
    </r>
  </si>
  <si>
    <t xml:space="preserve">  Итого Перевод в текущие цены на 1 мая 2016 г. (Инф. сб. УЦИС КО № 2 (142) Проектные 3,93</t>
  </si>
  <si>
    <t xml:space="preserve">  Итого Перевод в текущие цены на 1 мая 2016 г. (Инф. сб. УЦИС КО № 2 (142) Изыскания 44,5</t>
  </si>
  <si>
    <t xml:space="preserve">  Итого Перевод в текущие цены на 1 мая 2016 г. (Инф. сб. УЦИС КО № 2 (142) Изыскания 3,92</t>
  </si>
  <si>
    <t>Итого затраты по разделам (1-4)</t>
  </si>
  <si>
    <t>Составил: ___________________________Е.А. Миронова</t>
  </si>
  <si>
    <t>(должность, подпись, расшифровка)</t>
  </si>
  <si>
    <t>УТВЕРЖДАЮ:</t>
  </si>
  <si>
    <t>_______________А.В. Грошев</t>
  </si>
  <si>
    <t>Приложение № 1 к закупочной документации</t>
  </si>
  <si>
    <t>И.о. генерального директора</t>
  </si>
  <si>
    <t>ГП "Калугаоблводоканал"</t>
  </si>
  <si>
    <t>СМЕТА</t>
  </si>
  <si>
    <t>на проектно-изыскательские  работы</t>
  </si>
  <si>
    <t>Выполнение проектно-изыскательских работ по объекту: «Сети   водоотведения  микрорайона Звездный  п. Товарково, Дзержинского района, Калужской области»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</si>
</sst>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0"/>
  </numFmts>
  <fonts count="52">
    <font>
      <sz val="10"/>
      <name val="Arial Cyr"/>
      <family val="0"/>
    </font>
    <font>
      <sz val="11"/>
      <color indexed="8"/>
      <name val="Calibri"/>
      <family val="2"/>
    </font>
    <font>
      <b/>
      <sz val="8"/>
      <name val="Tahoma"/>
      <family val="2"/>
    </font>
    <font>
      <sz val="8"/>
      <name val="Tahoma"/>
      <family val="2"/>
    </font>
    <font>
      <sz val="8"/>
      <name val="Arial Cyr"/>
      <family val="0"/>
    </font>
    <font>
      <sz val="10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0"/>
      <name val="Arial Cyr"/>
      <family val="0"/>
    </font>
    <font>
      <b/>
      <sz val="11"/>
      <name val="Arial"/>
      <family val="2"/>
    </font>
    <font>
      <b/>
      <sz val="11"/>
      <name val="Arial Cyr"/>
      <family val="0"/>
    </font>
    <font>
      <i/>
      <sz val="10"/>
      <name val="Arial Cyr"/>
      <family val="0"/>
    </font>
    <font>
      <sz val="9"/>
      <name val="Arial"/>
      <family val="2"/>
    </font>
    <font>
      <i/>
      <sz val="9"/>
      <name val="Arial"/>
      <family val="2"/>
    </font>
    <font>
      <sz val="8"/>
      <name val="Arial"/>
      <family val="2"/>
    </font>
    <font>
      <sz val="12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8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5" fillId="0" borderId="1">
      <alignment horizontal="center"/>
      <protection/>
    </xf>
    <xf numFmtId="0" fontId="0" fillId="0" borderId="0">
      <alignment vertical="top"/>
      <protection/>
    </xf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2" applyNumberFormat="0" applyAlignment="0" applyProtection="0"/>
    <xf numFmtId="0" fontId="5" fillId="0" borderId="1">
      <alignment horizontal="center"/>
      <protection/>
    </xf>
    <xf numFmtId="0" fontId="5" fillId="0" borderId="0">
      <alignment vertical="top"/>
      <protection/>
    </xf>
    <xf numFmtId="0" fontId="37" fillId="27" borderId="3" applyNumberFormat="0" applyAlignment="0" applyProtection="0"/>
    <xf numFmtId="0" fontId="38" fillId="2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5" fillId="0" borderId="0">
      <alignment horizontal="right" vertical="top" wrapText="1"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8" borderId="8" applyNumberFormat="0" applyAlignment="0" applyProtection="0"/>
    <xf numFmtId="0" fontId="5" fillId="0" borderId="1">
      <alignment horizontal="center" wrapText="1"/>
      <protection/>
    </xf>
    <xf numFmtId="0" fontId="0" fillId="0" borderId="0">
      <alignment vertical="top"/>
      <protection/>
    </xf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5" fillId="0" borderId="0">
      <alignment/>
      <protection/>
    </xf>
    <xf numFmtId="0" fontId="5" fillId="0" borderId="1">
      <alignment horizontal="center" wrapText="1"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5" fillId="0" borderId="1">
      <alignment horizontal="center"/>
      <protection/>
    </xf>
    <xf numFmtId="0" fontId="5" fillId="0" borderId="1">
      <alignment horizontal="center" wrapText="1"/>
      <protection/>
    </xf>
    <xf numFmtId="0" fontId="0" fillId="0" borderId="0">
      <alignment/>
      <protection/>
    </xf>
    <xf numFmtId="0" fontId="48" fillId="0" borderId="10" applyNumberFormat="0" applyFill="0" applyAlignment="0" applyProtection="0"/>
    <xf numFmtId="0" fontId="49" fillId="0" borderId="0" applyNumberFormat="0" applyFill="0" applyBorder="0" applyAlignment="0" applyProtection="0"/>
    <xf numFmtId="0" fontId="5" fillId="0" borderId="0">
      <alignment horizont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>
      <alignment horizontal="left" vertical="top"/>
      <protection/>
    </xf>
    <xf numFmtId="0" fontId="50" fillId="32" borderId="0" applyNumberFormat="0" applyBorder="0" applyAlignment="0" applyProtection="0"/>
    <xf numFmtId="0" fontId="5" fillId="0" borderId="0">
      <alignment/>
      <protection/>
    </xf>
  </cellStyleXfs>
  <cellXfs count="62">
    <xf numFmtId="0" fontId="0" fillId="0" borderId="0" xfId="0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78" applyFont="1" applyBorder="1">
      <alignment horizontal="center"/>
      <protection/>
    </xf>
    <xf numFmtId="0" fontId="7" fillId="0" borderId="0" xfId="78" applyFont="1" applyBorder="1" applyAlignment="1">
      <alignment horizontal="right"/>
      <protection/>
    </xf>
    <xf numFmtId="0" fontId="7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vertical="top"/>
    </xf>
    <xf numFmtId="0" fontId="7" fillId="0" borderId="0" xfId="81" applyFont="1">
      <alignment horizontal="left" vertical="top"/>
      <protection/>
    </xf>
    <xf numFmtId="0" fontId="0" fillId="0" borderId="0" xfId="0" applyFont="1" applyAlignment="1">
      <alignment wrapText="1"/>
    </xf>
    <xf numFmtId="0" fontId="7" fillId="0" borderId="0" xfId="78" applyFont="1" applyBorder="1" applyAlignment="1">
      <alignment horizontal="left" vertical="top" wrapText="1"/>
      <protection/>
    </xf>
    <xf numFmtId="0" fontId="7" fillId="0" borderId="11" xfId="61" applyFont="1" applyBorder="1">
      <alignment horizontal="center" wrapText="1"/>
      <protection/>
    </xf>
    <xf numFmtId="49" fontId="7" fillId="0" borderId="1" xfId="0" applyNumberFormat="1" applyFont="1" applyBorder="1" applyAlignment="1">
      <alignment horizontal="center" vertical="top" wrapText="1"/>
    </xf>
    <xf numFmtId="0" fontId="7" fillId="0" borderId="1" xfId="0" applyFont="1" applyBorder="1" applyAlignment="1">
      <alignment horizontal="left" vertical="top" wrapText="1"/>
    </xf>
    <xf numFmtId="10" fontId="7" fillId="0" borderId="1" xfId="0" applyNumberFormat="1" applyFont="1" applyBorder="1" applyAlignment="1">
      <alignment horizontal="center" vertical="top" wrapText="1"/>
    </xf>
    <xf numFmtId="0" fontId="7" fillId="0" borderId="1" xfId="0" applyNumberFormat="1" applyFont="1" applyBorder="1" applyAlignment="1">
      <alignment horizontal="center" vertical="top" wrapText="1"/>
    </xf>
    <xf numFmtId="164" fontId="7" fillId="0" borderId="1" xfId="0" applyNumberFormat="1" applyFont="1" applyBorder="1" applyAlignment="1">
      <alignment horizontal="right" vertical="top" wrapText="1"/>
    </xf>
    <xf numFmtId="49" fontId="7" fillId="0" borderId="11" xfId="0" applyNumberFormat="1" applyFont="1" applyBorder="1" applyAlignment="1">
      <alignment horizontal="center" vertical="top" wrapText="1"/>
    </xf>
    <xf numFmtId="0" fontId="7" fillId="0" borderId="11" xfId="0" applyFont="1" applyBorder="1" applyAlignment="1">
      <alignment horizontal="left" vertical="top" wrapText="1"/>
    </xf>
    <xf numFmtId="10" fontId="7" fillId="0" borderId="11" xfId="0" applyNumberFormat="1" applyFont="1" applyBorder="1" applyAlignment="1">
      <alignment horizontal="center" vertical="top" wrapText="1"/>
    </xf>
    <xf numFmtId="0" fontId="7" fillId="0" borderId="11" xfId="0" applyNumberFormat="1" applyFont="1" applyBorder="1" applyAlignment="1">
      <alignment horizontal="center" vertical="top" wrapText="1"/>
    </xf>
    <xf numFmtId="164" fontId="7" fillId="0" borderId="11" xfId="0" applyNumberFormat="1" applyFont="1" applyBorder="1" applyAlignment="1">
      <alignment horizontal="right" vertical="top" wrapText="1"/>
    </xf>
    <xf numFmtId="164" fontId="8" fillId="0" borderId="11" xfId="0" applyNumberFormat="1" applyFont="1" applyBorder="1" applyAlignment="1">
      <alignment horizontal="right" vertical="top" wrapText="1"/>
    </xf>
    <xf numFmtId="9" fontId="7" fillId="0" borderId="1" xfId="0" applyNumberFormat="1" applyFont="1" applyBorder="1" applyAlignment="1">
      <alignment horizontal="center" vertical="top" wrapText="1"/>
    </xf>
    <xf numFmtId="164" fontId="7" fillId="0" borderId="1" xfId="53" applyNumberFormat="1" applyFont="1" applyBorder="1" applyAlignment="1">
      <alignment horizontal="right" vertical="top" wrapText="1"/>
      <protection/>
    </xf>
    <xf numFmtId="164" fontId="8" fillId="0" borderId="1" xfId="53" applyNumberFormat="1" applyFont="1" applyBorder="1" applyAlignment="1">
      <alignment horizontal="right" vertical="top" wrapText="1"/>
      <protection/>
    </xf>
    <xf numFmtId="0" fontId="7" fillId="0" borderId="1" xfId="0" applyNumberFormat="1" applyFont="1" applyBorder="1" applyAlignment="1" quotePrefix="1">
      <alignment horizontal="left" vertical="top" wrapText="1"/>
    </xf>
    <xf numFmtId="0" fontId="7" fillId="0" borderId="11" xfId="0" applyNumberFormat="1" applyFont="1" applyBorder="1" applyAlignment="1" quotePrefix="1">
      <alignment horizontal="left" vertical="top" wrapText="1"/>
    </xf>
    <xf numFmtId="0" fontId="12" fillId="0" borderId="0" xfId="0" applyFont="1" applyAlignment="1">
      <alignment vertical="top" wrapText="1"/>
    </xf>
    <xf numFmtId="0" fontId="0" fillId="0" borderId="0" xfId="0" applyFont="1" applyAlignment="1">
      <alignment wrapText="1"/>
    </xf>
    <xf numFmtId="0" fontId="10" fillId="0" borderId="0" xfId="0" applyFont="1" applyAlignment="1">
      <alignment wrapText="1"/>
    </xf>
    <xf numFmtId="0" fontId="12" fillId="0" borderId="0" xfId="0" applyFont="1" applyAlignment="1">
      <alignment wrapText="1"/>
    </xf>
    <xf numFmtId="165" fontId="8" fillId="0" borderId="1" xfId="53" applyNumberFormat="1" applyFont="1" applyBorder="1" applyAlignment="1">
      <alignment horizontal="right" vertical="top" wrapText="1"/>
      <protection/>
    </xf>
    <xf numFmtId="0" fontId="16" fillId="0" borderId="0" xfId="0" applyFont="1" applyAlignment="1">
      <alignment horizontal="right" vertical="top"/>
    </xf>
    <xf numFmtId="0" fontId="17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 horizontal="left" vertical="top"/>
    </xf>
    <xf numFmtId="0" fontId="11" fillId="0" borderId="12" xfId="0" applyNumberFormat="1" applyFont="1" applyBorder="1" applyAlignment="1">
      <alignment horizontal="left" vertical="top" wrapText="1" indent="5"/>
    </xf>
    <xf numFmtId="0" fontId="12" fillId="0" borderId="13" xfId="0" applyFont="1" applyBorder="1" applyAlignment="1">
      <alignment horizontal="left" vertical="top" wrapText="1" indent="5"/>
    </xf>
    <xf numFmtId="0" fontId="12" fillId="0" borderId="14" xfId="0" applyFont="1" applyBorder="1" applyAlignment="1">
      <alignment horizontal="left" vertical="top" wrapText="1" indent="5"/>
    </xf>
    <xf numFmtId="0" fontId="8" fillId="0" borderId="11" xfId="0" applyNumberFormat="1" applyFont="1" applyBorder="1" applyAlignment="1">
      <alignment horizontal="left" vertical="top" wrapText="1"/>
    </xf>
    <xf numFmtId="0" fontId="10" fillId="0" borderId="11" xfId="0" applyFont="1" applyBorder="1" applyAlignment="1">
      <alignment horizontal="left" vertical="top" wrapText="1"/>
    </xf>
    <xf numFmtId="0" fontId="7" fillId="0" borderId="0" xfId="78" applyFont="1" applyBorder="1" applyAlignment="1">
      <alignment horizontal="right" wrapText="1"/>
      <protection/>
    </xf>
    <xf numFmtId="0" fontId="8" fillId="0" borderId="0" xfId="0" applyFont="1" applyAlignment="1">
      <alignment horizontal="right" vertical="top"/>
    </xf>
    <xf numFmtId="0" fontId="0" fillId="0" borderId="0" xfId="0" applyAlignment="1">
      <alignment horizontal="right"/>
    </xf>
    <xf numFmtId="0" fontId="7" fillId="0" borderId="0" xfId="0" applyFont="1" applyAlignment="1">
      <alignment horizontal="right"/>
    </xf>
    <xf numFmtId="0" fontId="6" fillId="0" borderId="0" xfId="78" applyFont="1">
      <alignment horizontal="center"/>
      <protection/>
    </xf>
    <xf numFmtId="0" fontId="7" fillId="0" borderId="0" xfId="0" applyFont="1" applyAlignment="1">
      <alignment horizontal="center"/>
    </xf>
    <xf numFmtId="0" fontId="8" fillId="0" borderId="0" xfId="78" applyNumberFormat="1" applyFont="1" applyBorder="1" applyAlignment="1">
      <alignment horizontal="center" vertical="top" wrapText="1"/>
      <protection/>
    </xf>
    <xf numFmtId="0" fontId="8" fillId="0" borderId="0" xfId="78" applyFont="1" applyBorder="1" applyAlignment="1">
      <alignment horizontal="center" vertical="top" wrapText="1"/>
      <protection/>
    </xf>
    <xf numFmtId="0" fontId="9" fillId="0" borderId="0" xfId="78" applyFont="1" applyBorder="1" applyAlignment="1">
      <alignment horizontal="left" vertical="top" wrapText="1"/>
      <protection/>
    </xf>
    <xf numFmtId="0" fontId="15" fillId="0" borderId="0" xfId="0" applyFont="1" applyAlignment="1">
      <alignment horizontal="center" vertical="top" wrapText="1"/>
    </xf>
    <xf numFmtId="0" fontId="0" fillId="0" borderId="0" xfId="0" applyAlignment="1">
      <alignment vertical="top" wrapText="1"/>
    </xf>
    <xf numFmtId="0" fontId="7" fillId="0" borderId="1" xfId="53" applyNumberFormat="1" applyFont="1" applyBorder="1" applyAlignment="1">
      <alignment horizontal="left" vertical="top" wrapText="1"/>
      <protection/>
    </xf>
    <xf numFmtId="0" fontId="0" fillId="0" borderId="1" xfId="0" applyFont="1" applyBorder="1" applyAlignment="1">
      <alignment horizontal="left" vertical="top" wrapText="1"/>
    </xf>
    <xf numFmtId="0" fontId="8" fillId="0" borderId="1" xfId="53" applyNumberFormat="1" applyFont="1" applyBorder="1" applyAlignment="1">
      <alignment horizontal="left" vertical="top" wrapText="1"/>
      <protection/>
    </xf>
    <xf numFmtId="0" fontId="10" fillId="0" borderId="1" xfId="0" applyFont="1" applyBorder="1" applyAlignment="1">
      <alignment horizontal="left" vertical="top" wrapText="1"/>
    </xf>
    <xf numFmtId="0" fontId="14" fillId="0" borderId="0" xfId="0" applyFont="1" applyAlignment="1">
      <alignment horizontal="center" vertical="top" wrapText="1"/>
    </xf>
    <xf numFmtId="0" fontId="9" fillId="0" borderId="12" xfId="0" applyNumberFormat="1" applyFont="1" applyBorder="1" applyAlignment="1">
      <alignment horizontal="left" vertical="top" wrapText="1" indent="5"/>
    </xf>
    <xf numFmtId="0" fontId="13" fillId="0" borderId="13" xfId="0" applyFont="1" applyBorder="1" applyAlignment="1">
      <alignment horizontal="left" vertical="top" wrapText="1" indent="5"/>
    </xf>
    <xf numFmtId="0" fontId="13" fillId="0" borderId="14" xfId="0" applyFont="1" applyBorder="1" applyAlignment="1">
      <alignment horizontal="left" vertical="top" wrapText="1" indent="5"/>
    </xf>
  </cellXfs>
  <cellStyles count="7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т" xfId="33"/>
    <cellStyle name="АктМТСН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едРесурсов" xfId="42"/>
    <cellStyle name="ВедРесурсовАкт" xfId="43"/>
    <cellStyle name="Вывод" xfId="44"/>
    <cellStyle name="Вычисление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Итоги" xfId="53"/>
    <cellStyle name="ИтогоАктБазЦ" xfId="54"/>
    <cellStyle name="ИтогоАктБИМ" xfId="55"/>
    <cellStyle name="ИтогоАктРесМет" xfId="56"/>
    <cellStyle name="ИтогоБазЦ" xfId="57"/>
    <cellStyle name="ИтогоБИМ" xfId="58"/>
    <cellStyle name="ИтогоРесМет" xfId="59"/>
    <cellStyle name="Контрольная ячейка" xfId="60"/>
    <cellStyle name="ЛокСмета" xfId="61"/>
    <cellStyle name="ЛокСмМТСН" xfId="62"/>
    <cellStyle name="М29" xfId="63"/>
    <cellStyle name="Название" xfId="64"/>
    <cellStyle name="Нейтральный" xfId="65"/>
    <cellStyle name="ОбСмета" xfId="66"/>
    <cellStyle name="Параметр" xfId="67"/>
    <cellStyle name="ПеременныеСметы" xfId="68"/>
    <cellStyle name="Плохой" xfId="69"/>
    <cellStyle name="Пояснение" xfId="70"/>
    <cellStyle name="Примечание" xfId="71"/>
    <cellStyle name="Percent" xfId="72"/>
    <cellStyle name="РесСмета" xfId="73"/>
    <cellStyle name="СводкаСтоимРаб" xfId="74"/>
    <cellStyle name="СводРасч" xfId="75"/>
    <cellStyle name="Связанная ячейка" xfId="76"/>
    <cellStyle name="Текст предупреждения" xfId="77"/>
    <cellStyle name="Титул" xfId="78"/>
    <cellStyle name="Comma" xfId="79"/>
    <cellStyle name="Comma [0]" xfId="80"/>
    <cellStyle name="Хвост" xfId="81"/>
    <cellStyle name="Хороший" xfId="82"/>
    <cellStyle name="Экспертиза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13</xdr:row>
      <xdr:rowOff>847725</xdr:rowOff>
    </xdr:from>
    <xdr:to>
      <xdr:col>1</xdr:col>
      <xdr:colOff>2171700</xdr:colOff>
      <xdr:row>13</xdr:row>
      <xdr:rowOff>1095375</xdr:rowOff>
    </xdr:to>
    <xdr:pic>
      <xdr:nvPicPr>
        <xdr:cNvPr id="1" name="Check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" y="3448050"/>
          <a:ext cx="2152650" cy="2476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Y62"/>
  <sheetViews>
    <sheetView showGridLines="0" tabSelected="1" view="pageBreakPreview" zoomScaleNormal="120" zoomScaleSheetLayoutView="100" zoomScalePageLayoutView="0" workbookViewId="0" topLeftCell="A1">
      <selection activeCell="N54" sqref="N54"/>
    </sheetView>
  </sheetViews>
  <sheetFormatPr defaultColWidth="9.00390625" defaultRowHeight="12.75" outlineLevelRow="1"/>
  <cols>
    <col min="1" max="1" width="5.75390625" style="1" customWidth="1"/>
    <col min="2" max="3" width="29.375" style="1" customWidth="1"/>
    <col min="4" max="4" width="20.125" style="1" customWidth="1"/>
    <col min="5" max="10" width="22.125" style="1" hidden="1" customWidth="1"/>
    <col min="11" max="11" width="73.75390625" style="1" hidden="1" customWidth="1"/>
    <col min="12" max="13" width="15.00390625" style="1" hidden="1" customWidth="1"/>
    <col min="14" max="14" width="12.625" style="1" customWidth="1"/>
    <col min="15" max="24" width="9.125" style="1" customWidth="1"/>
    <col min="25" max="25" width="56.00390625" style="10" customWidth="1"/>
    <col min="26" max="16384" width="9.125" style="1" customWidth="1"/>
  </cols>
  <sheetData>
    <row r="1" spans="1:14" ht="12.75">
      <c r="A1" s="43" t="s">
        <v>84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</row>
    <row r="2" spans="1:25" ht="12.75">
      <c r="A2" s="44" t="s">
        <v>82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36"/>
      <c r="P2" s="36"/>
      <c r="Q2" s="36"/>
      <c r="R2" s="36"/>
      <c r="S2" s="36"/>
      <c r="T2" s="36"/>
      <c r="U2" s="36"/>
      <c r="V2" s="36"/>
      <c r="W2" s="36"/>
      <c r="X2" s="36"/>
      <c r="Y2" s="30"/>
    </row>
    <row r="3" spans="1:25" ht="14.25" customHeight="1">
      <c r="A3" s="45" t="s">
        <v>85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36"/>
      <c r="P3" s="36"/>
      <c r="Q3" s="36"/>
      <c r="R3" s="36"/>
      <c r="S3" s="36"/>
      <c r="T3" s="36"/>
      <c r="U3" s="36"/>
      <c r="V3" s="36"/>
      <c r="W3" s="36"/>
      <c r="X3" s="36"/>
      <c r="Y3" s="30"/>
    </row>
    <row r="4" spans="1:25" ht="14.25" customHeight="1">
      <c r="A4" s="45" t="s">
        <v>86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36"/>
      <c r="P4" s="36"/>
      <c r="Q4" s="36"/>
      <c r="R4" s="36"/>
      <c r="S4" s="36"/>
      <c r="T4" s="36"/>
      <c r="U4" s="36"/>
      <c r="V4" s="36"/>
      <c r="W4" s="36"/>
      <c r="X4" s="36"/>
      <c r="Y4" s="30"/>
    </row>
    <row r="5" spans="1:25" ht="29.25" customHeight="1">
      <c r="A5" s="46" t="s">
        <v>83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36"/>
      <c r="P5" s="36"/>
      <c r="Q5" s="36"/>
      <c r="R5" s="36"/>
      <c r="S5" s="36"/>
      <c r="T5" s="36"/>
      <c r="U5" s="36"/>
      <c r="V5" s="36"/>
      <c r="W5" s="36"/>
      <c r="X5" s="36"/>
      <c r="Y5" s="30"/>
    </row>
    <row r="6" spans="1:25" ht="12.75">
      <c r="A6" s="36"/>
      <c r="B6" s="36"/>
      <c r="C6" s="36"/>
      <c r="D6" s="37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0"/>
    </row>
    <row r="7" spans="1:4" ht="12.75">
      <c r="A7" s="11"/>
      <c r="B7" s="11"/>
      <c r="C7" s="11"/>
      <c r="D7" s="11"/>
    </row>
    <row r="8" spans="1:14" ht="15.75">
      <c r="A8" s="47" t="s">
        <v>87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</row>
    <row r="9" spans="1:14" ht="12.75">
      <c r="A9" s="48" t="s">
        <v>88</v>
      </c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</row>
    <row r="10" spans="1:14" ht="12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</row>
    <row r="11" spans="1:14" ht="12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</row>
    <row r="12" spans="1:25" ht="29.25" customHeight="1">
      <c r="A12" s="49" t="s">
        <v>89</v>
      </c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Y12" s="31"/>
    </row>
    <row r="13" spans="1:14" ht="12.75">
      <c r="A13" s="2"/>
      <c r="B13" s="2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4"/>
    </row>
    <row r="14" spans="1:14" s="6" customFormat="1" ht="100.5" customHeight="1">
      <c r="A14" s="5" t="s">
        <v>0</v>
      </c>
      <c r="B14" s="5" t="s">
        <v>1</v>
      </c>
      <c r="C14" s="5" t="s">
        <v>2</v>
      </c>
      <c r="D14" s="5" t="s">
        <v>3</v>
      </c>
      <c r="E14" s="5"/>
      <c r="F14" s="5"/>
      <c r="G14" s="5"/>
      <c r="H14" s="5"/>
      <c r="I14" s="5"/>
      <c r="J14" s="5"/>
      <c r="K14" s="5"/>
      <c r="L14" s="5"/>
      <c r="M14" s="5"/>
      <c r="N14" s="5" t="s">
        <v>4</v>
      </c>
    </row>
    <row r="15" spans="1:14" ht="12.75">
      <c r="A15" s="12">
        <v>1</v>
      </c>
      <c r="B15" s="12">
        <v>2</v>
      </c>
      <c r="C15" s="12">
        <v>3</v>
      </c>
      <c r="D15" s="12">
        <v>4</v>
      </c>
      <c r="E15" s="12"/>
      <c r="F15" s="12"/>
      <c r="G15" s="12"/>
      <c r="H15" s="12"/>
      <c r="I15" s="12"/>
      <c r="J15" s="12"/>
      <c r="K15" s="12"/>
      <c r="L15" s="12"/>
      <c r="M15" s="12"/>
      <c r="N15" s="12">
        <v>5</v>
      </c>
    </row>
    <row r="16" spans="1:25" s="7" customFormat="1" ht="15" customHeight="1">
      <c r="A16" s="38" t="s">
        <v>5</v>
      </c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40"/>
      <c r="Y16" s="29"/>
    </row>
    <row r="17" spans="1:25" s="8" customFormat="1" ht="63.75">
      <c r="A17" s="13">
        <v>1</v>
      </c>
      <c r="B17" s="14" t="s">
        <v>32</v>
      </c>
      <c r="C17" s="27" t="s">
        <v>56</v>
      </c>
      <c r="D17" s="15" t="str">
        <f ca="1">IF(INDIRECT("H"&amp;ROW())="",INDIRECT("E"&amp;ROW()),"("&amp;INDIRECT("H"&amp;ROW())&amp;")")&amp;IF(INDIRECT("F"&amp;ROW())="0"," * 0",IF(INDIRECT("F"&amp;ROW())="",IF(INDIRECT("I"&amp;ROW())=""," "," * "&amp;INDIRECT("I"&amp;ROW()))," * "&amp;INDIRECT("F"&amp;ROW())))&amp;IF(INDIRECT("G"&amp;ROW())=""," "," * "&amp;INDIRECT("G"&amp;ROW()))</f>
        <v>5,28 * 12076 </v>
      </c>
      <c r="E17" s="16">
        <f>IF(5.28="","0",5.28)</f>
        <v>5.28</v>
      </c>
      <c r="F17" s="16" t="str">
        <f ca="1">IF(INDIRECT("J"&amp;ROW())="текущие цены",IF(INDIRECT("G"&amp;ROW())="","0","0"),IF(INDIRECT("G"&amp;ROW())="","12076","12076"))</f>
        <v>12076</v>
      </c>
      <c r="G17" s="16"/>
      <c r="H17" s="16"/>
      <c r="I17" s="16"/>
      <c r="J17" s="16" t="s">
        <v>6</v>
      </c>
      <c r="K17" s="16"/>
      <c r="L17" s="16">
        <v>1</v>
      </c>
      <c r="M17" s="16" t="s">
        <v>7</v>
      </c>
      <c r="N17" s="17">
        <f ca="1">IF(INDIRECT("J"&amp;ROW())="текущие цены",0/1000,63761.28/1000)</f>
        <v>63.76128</v>
      </c>
      <c r="O17" s="7"/>
      <c r="P17" s="7"/>
      <c r="Q17" s="7"/>
      <c r="R17" s="7"/>
      <c r="S17" s="7"/>
      <c r="Y17" s="7"/>
    </row>
    <row r="18" spans="1:19" ht="63.75">
      <c r="A18" s="13">
        <v>2</v>
      </c>
      <c r="B18" s="14" t="s">
        <v>33</v>
      </c>
      <c r="C18" s="27" t="s">
        <v>57</v>
      </c>
      <c r="D18" s="15" t="str">
        <f ca="1">IF(INDIRECT("H"&amp;ROW())="",INDIRECT("E"&amp;ROW()),"("&amp;INDIRECT("H"&amp;ROW())&amp;")")&amp;IF(INDIRECT("F"&amp;ROW())="0"," * 0",IF(INDIRECT("F"&amp;ROW())="",IF(INDIRECT("I"&amp;ROW())=""," "," * "&amp;INDIRECT("I"&amp;ROW()))," * "&amp;INDIRECT("F"&amp;ROW())))&amp;IF(INDIRECT("G"&amp;ROW())=""," "," * "&amp;INDIRECT("G"&amp;ROW()))</f>
        <v>5,28 * 5327 </v>
      </c>
      <c r="E18" s="16">
        <f>IF(5.28="","0",5.28)</f>
        <v>5.28</v>
      </c>
      <c r="F18" s="16" t="str">
        <f ca="1">IF(INDIRECT("J"&amp;ROW())="текущие цены",IF(INDIRECT("G"&amp;ROW())="","0","0"),IF(INDIRECT("G"&amp;ROW())="","5327","5327"))</f>
        <v>5327</v>
      </c>
      <c r="G18" s="16"/>
      <c r="H18" s="16"/>
      <c r="I18" s="16"/>
      <c r="J18" s="16" t="s">
        <v>6</v>
      </c>
      <c r="K18" s="16"/>
      <c r="L18" s="16">
        <v>1</v>
      </c>
      <c r="M18" s="16" t="s">
        <v>7</v>
      </c>
      <c r="N18" s="17">
        <f ca="1">IF(INDIRECT("J"&amp;ROW())="текущие цены",0/1000,28126.56/1000)</f>
        <v>28.12656</v>
      </c>
      <c r="O18" s="7"/>
      <c r="P18" s="7"/>
      <c r="Q18" s="7"/>
      <c r="R18" s="7"/>
      <c r="S18" s="7"/>
    </row>
    <row r="19" spans="1:19" ht="102">
      <c r="A19" s="13">
        <v>3</v>
      </c>
      <c r="B19" s="14" t="s">
        <v>34</v>
      </c>
      <c r="C19" s="27" t="s">
        <v>58</v>
      </c>
      <c r="D19" s="15" t="str">
        <f ca="1">IF(INDIRECT("H"&amp;ROW())="",INDIRECT("E"&amp;ROW()),"("&amp;INDIRECT("H"&amp;ROW())&amp;")")&amp;IF(INDIRECT("F"&amp;ROW())="0"," * 0",IF(INDIRECT("F"&amp;ROW())="",IF(INDIRECT("I"&amp;ROW())=""," "," * "&amp;INDIRECT("I"&amp;ROW()))," * "&amp;INDIRECT("F"&amp;ROW())))&amp;IF(INDIRECT("G"&amp;ROW())=""," "," * "&amp;INDIRECT("G"&amp;ROW()))</f>
        <v>2 * 3352 </v>
      </c>
      <c r="E19" s="16">
        <f>IF(2="","0",2)</f>
        <v>2</v>
      </c>
      <c r="F19" s="16" t="str">
        <f ca="1">IF(INDIRECT("J"&amp;ROW())="текущие цены",IF(INDIRECT("G"&amp;ROW())="","0","0"),IF(INDIRECT("G"&amp;ROW())="","3352","3352"))</f>
        <v>3352</v>
      </c>
      <c r="G19" s="16"/>
      <c r="H19" s="16"/>
      <c r="I19" s="16"/>
      <c r="J19" s="16" t="s">
        <v>6</v>
      </c>
      <c r="K19" s="16"/>
      <c r="L19" s="16">
        <v>1</v>
      </c>
      <c r="M19" s="16" t="s">
        <v>8</v>
      </c>
      <c r="N19" s="17">
        <f ca="1">IF(INDIRECT("J"&amp;ROW())="текущие цены",0/1000,6704/1000)</f>
        <v>6.704</v>
      </c>
      <c r="O19" s="7"/>
      <c r="P19" s="7"/>
      <c r="Q19" s="7"/>
      <c r="R19" s="7"/>
      <c r="S19" s="7"/>
    </row>
    <row r="20" spans="1:19" ht="102">
      <c r="A20" s="13">
        <v>4</v>
      </c>
      <c r="B20" s="14" t="s">
        <v>35</v>
      </c>
      <c r="C20" s="27" t="s">
        <v>59</v>
      </c>
      <c r="D20" s="15" t="str">
        <f ca="1">IF(INDIRECT("H"&amp;ROW())="",INDIRECT("E"&amp;ROW()),"("&amp;INDIRECT("H"&amp;ROW())&amp;")")&amp;IF(INDIRECT("F"&amp;ROW())="0"," * 0",IF(INDIRECT("F"&amp;ROW())="",IF(INDIRECT("I"&amp;ROW())=""," "," * "&amp;INDIRECT("I"&amp;ROW()))," * "&amp;INDIRECT("F"&amp;ROW())))&amp;IF(INDIRECT("G"&amp;ROW())=""," "," * "&amp;INDIRECT("G"&amp;ROW()))</f>
        <v>2 * 1436 </v>
      </c>
      <c r="E20" s="16">
        <f>IF(2="","0",2)</f>
        <v>2</v>
      </c>
      <c r="F20" s="16" t="str">
        <f ca="1">IF(INDIRECT("J"&amp;ROW())="текущие цены",IF(INDIRECT("G"&amp;ROW())="","0","0"),IF(INDIRECT("G"&amp;ROW())="","1436","1436"))</f>
        <v>1436</v>
      </c>
      <c r="G20" s="16"/>
      <c r="H20" s="16"/>
      <c r="I20" s="16"/>
      <c r="J20" s="16" t="s">
        <v>6</v>
      </c>
      <c r="K20" s="16"/>
      <c r="L20" s="16">
        <v>1</v>
      </c>
      <c r="M20" s="16" t="s">
        <v>8</v>
      </c>
      <c r="N20" s="17">
        <f ca="1">IF(INDIRECT("J"&amp;ROW())="текущие цены",0/1000,2872/1000)</f>
        <v>2.872</v>
      </c>
      <c r="O20" s="7"/>
      <c r="P20" s="7"/>
      <c r="Q20" s="7"/>
      <c r="R20" s="7"/>
      <c r="S20" s="7"/>
    </row>
    <row r="21" spans="1:19" ht="76.5">
      <c r="A21" s="18">
        <v>5</v>
      </c>
      <c r="B21" s="19" t="s">
        <v>36</v>
      </c>
      <c r="C21" s="28" t="s">
        <v>9</v>
      </c>
      <c r="D21" s="20" t="str">
        <f ca="1">IF(INDIRECT("H"&amp;ROW())="",INDIRECT("E"&amp;ROW()),"("&amp;INDIRECT("H"&amp;ROW())&amp;")")&amp;IF(INDIRECT("F"&amp;ROW())="0"," * 0",IF(INDIRECT("F"&amp;ROW())="",IF(INDIRECT("I"&amp;ROW())=""," "," * "&amp;INDIRECT("I"&amp;ROW()))," * "&amp;INDIRECT("F"&amp;ROW())))&amp;IF(INDIRECT("G"&amp;ROW())=""," "," * "&amp;INDIRECT("G"&amp;ROW()))</f>
        <v>(7,5%) * 19556 </v>
      </c>
      <c r="E21" s="21">
        <f>IF(0.075="","0",0.075)</f>
        <v>0.075</v>
      </c>
      <c r="F21" s="21" t="str">
        <f ca="1">IF(INDIRECT("J"&amp;ROW())="текущие цены",IF(INDIRECT("G"&amp;ROW())="","0","0"),IF(INDIRECT("G"&amp;ROW())="","19556","19556"))</f>
        <v>19556</v>
      </c>
      <c r="G21" s="21"/>
      <c r="H21" s="21" t="s">
        <v>10</v>
      </c>
      <c r="I21" s="21"/>
      <c r="J21" s="21" t="s">
        <v>6</v>
      </c>
      <c r="K21" s="21"/>
      <c r="L21" s="21">
        <v>1</v>
      </c>
      <c r="M21" s="21" t="s">
        <v>11</v>
      </c>
      <c r="N21" s="22">
        <f ca="1">IF(INDIRECT("J"&amp;ROW())="текущие цены",0/1000,1466.7/1000)</f>
        <v>1.4667000000000001</v>
      </c>
      <c r="O21" s="7"/>
      <c r="P21" s="7"/>
      <c r="Q21" s="7"/>
      <c r="R21" s="7"/>
      <c r="S21" s="7"/>
    </row>
    <row r="22" spans="1:25" ht="12.75" customHeight="1">
      <c r="A22" s="41" t="s">
        <v>12</v>
      </c>
      <c r="B22" s="42"/>
      <c r="C22" s="42"/>
      <c r="D22" s="42"/>
      <c r="E22" s="42"/>
      <c r="F22" s="42"/>
      <c r="G22" s="42"/>
      <c r="H22" s="42"/>
      <c r="I22" s="42"/>
      <c r="J22" s="42"/>
      <c r="K22" s="42"/>
      <c r="L22" s="42"/>
      <c r="M22" s="42"/>
      <c r="N22" s="23">
        <f>404517.02/1000</f>
        <v>404.51702</v>
      </c>
      <c r="O22" s="7"/>
      <c r="P22" s="7"/>
      <c r="Q22" s="7"/>
      <c r="R22" s="7"/>
      <c r="S22" s="7"/>
      <c r="Y22" s="31"/>
    </row>
    <row r="23" spans="1:25" ht="15" customHeight="1">
      <c r="A23" s="38" t="s">
        <v>13</v>
      </c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40"/>
      <c r="O23" s="7"/>
      <c r="P23" s="7"/>
      <c r="Q23" s="7"/>
      <c r="R23" s="7"/>
      <c r="S23" s="7"/>
      <c r="Y23" s="32"/>
    </row>
    <row r="24" spans="1:25" ht="12.75" customHeight="1">
      <c r="A24" s="59" t="s">
        <v>14</v>
      </c>
      <c r="B24" s="60"/>
      <c r="C24" s="60"/>
      <c r="D24" s="60"/>
      <c r="E24" s="60"/>
      <c r="F24" s="60"/>
      <c r="G24" s="60"/>
      <c r="H24" s="60"/>
      <c r="I24" s="60"/>
      <c r="J24" s="60"/>
      <c r="K24" s="60"/>
      <c r="L24" s="60"/>
      <c r="M24" s="60"/>
      <c r="N24" s="61"/>
      <c r="O24" s="7"/>
      <c r="P24" s="7"/>
      <c r="Q24" s="7"/>
      <c r="R24" s="7"/>
      <c r="S24" s="7"/>
      <c r="Y24" s="30"/>
    </row>
    <row r="25" spans="1:19" ht="76.5">
      <c r="A25" s="13">
        <v>6</v>
      </c>
      <c r="B25" s="14" t="s">
        <v>37</v>
      </c>
      <c r="C25" s="27" t="s">
        <v>60</v>
      </c>
      <c r="D25" s="15" t="str">
        <f aca="true" ca="1" t="shared" si="0" ref="D25:D31">IF(INDIRECT("H"&amp;ROW())="",INDIRECT("E"&amp;ROW()),"("&amp;INDIRECT("H"&amp;ROW())&amp;")")&amp;IF(INDIRECT("F"&amp;ROW())="0"," * 0",IF(INDIRECT("F"&amp;ROW())="",IF(INDIRECT("I"&amp;ROW())=""," "," * "&amp;INDIRECT("I"&amp;ROW()))," * "&amp;INDIRECT("F"&amp;ROW())))&amp;IF(INDIRECT("G"&amp;ROW())=""," "," * "&amp;INDIRECT("G"&amp;ROW()))</f>
        <v>5,28 * 27 </v>
      </c>
      <c r="E25" s="16">
        <f>IF(5.28="","0",5.28)</f>
        <v>5.28</v>
      </c>
      <c r="F25" s="16" t="str">
        <f ca="1">IF(INDIRECT("J"&amp;ROW())="текущие цены",IF(INDIRECT("G"&amp;ROW())="","0","0"),IF(INDIRECT("G"&amp;ROW())="","27","27"))</f>
        <v>27</v>
      </c>
      <c r="G25" s="16"/>
      <c r="H25" s="16"/>
      <c r="I25" s="16"/>
      <c r="J25" s="16" t="s">
        <v>6</v>
      </c>
      <c r="K25" s="16"/>
      <c r="L25" s="16">
        <v>2</v>
      </c>
      <c r="M25" s="16" t="s">
        <v>15</v>
      </c>
      <c r="N25" s="17">
        <f ca="1">IF(INDIRECT("J"&amp;ROW())="текущие цены",0/1000,142.56/1000)</f>
        <v>0.14256</v>
      </c>
      <c r="O25" s="7"/>
      <c r="P25" s="7"/>
      <c r="Q25" s="7"/>
      <c r="R25" s="7"/>
      <c r="S25" s="7"/>
    </row>
    <row r="26" spans="1:19" ht="51">
      <c r="A26" s="13">
        <v>7</v>
      </c>
      <c r="B26" s="14" t="s">
        <v>38</v>
      </c>
      <c r="C26" s="27" t="s">
        <v>61</v>
      </c>
      <c r="D26" s="15" t="str">
        <f ca="1" t="shared" si="0"/>
        <v>100 * 42.6 </v>
      </c>
      <c r="E26" s="16">
        <f>IF(100="","0",100)</f>
        <v>100</v>
      </c>
      <c r="F26" s="16" t="str">
        <f ca="1">IF(INDIRECT("J"&amp;ROW())="текущие цены",IF(INDIRECT("G"&amp;ROW())="","0","0"),IF(INDIRECT("G"&amp;ROW())="","42.6","42.6"))</f>
        <v>42.6</v>
      </c>
      <c r="G26" s="16"/>
      <c r="H26" s="16"/>
      <c r="I26" s="16"/>
      <c r="J26" s="16" t="s">
        <v>6</v>
      </c>
      <c r="K26" s="16"/>
      <c r="L26" s="16">
        <v>2</v>
      </c>
      <c r="M26" s="16" t="s">
        <v>16</v>
      </c>
      <c r="N26" s="17">
        <f ca="1">IF(INDIRECT("J"&amp;ROW())="текущие цены",0/1000,4260/1000)</f>
        <v>4.26</v>
      </c>
      <c r="O26" s="7"/>
      <c r="P26" s="7"/>
      <c r="Q26" s="7"/>
      <c r="R26" s="7"/>
      <c r="S26" s="7"/>
    </row>
    <row r="27" spans="1:19" ht="51">
      <c r="A27" s="13">
        <v>8</v>
      </c>
      <c r="B27" s="14" t="s">
        <v>39</v>
      </c>
      <c r="C27" s="27" t="s">
        <v>62</v>
      </c>
      <c r="D27" s="15" t="str">
        <f ca="1" t="shared" si="0"/>
        <v>100 * 1.6 </v>
      </c>
      <c r="E27" s="16">
        <f>IF(100="","0",100)</f>
        <v>100</v>
      </c>
      <c r="F27" s="16" t="str">
        <f ca="1">IF(INDIRECT("J"&amp;ROW())="текущие цены",IF(INDIRECT("G"&amp;ROW())="","0","0"),IF(INDIRECT("G"&amp;ROW())="","1.6","1.6"))</f>
        <v>1.6</v>
      </c>
      <c r="G27" s="16"/>
      <c r="H27" s="16"/>
      <c r="I27" s="16"/>
      <c r="J27" s="16" t="s">
        <v>6</v>
      </c>
      <c r="K27" s="16"/>
      <c r="L27" s="16">
        <v>2</v>
      </c>
      <c r="M27" s="16" t="s">
        <v>16</v>
      </c>
      <c r="N27" s="17">
        <f ca="1">IF(INDIRECT("J"&amp;ROW())="текущие цены",0/1000,160/1000)</f>
        <v>0.16</v>
      </c>
      <c r="O27" s="7"/>
      <c r="P27" s="7"/>
      <c r="Q27" s="7"/>
      <c r="R27" s="7"/>
      <c r="S27" s="7"/>
    </row>
    <row r="28" spans="1:19" ht="38.25">
      <c r="A28" s="13">
        <v>9</v>
      </c>
      <c r="B28" s="14" t="s">
        <v>40</v>
      </c>
      <c r="C28" s="27" t="s">
        <v>63</v>
      </c>
      <c r="D28" s="15" t="str">
        <f ca="1" t="shared" si="0"/>
        <v>1 * 130 </v>
      </c>
      <c r="E28" s="16">
        <f>IF(1="","0",1)</f>
        <v>1</v>
      </c>
      <c r="F28" s="16" t="str">
        <f ca="1">IF(INDIRECT("J"&amp;ROW())="текущие цены",IF(INDIRECT("G"&amp;ROW())="","0","0"),IF(INDIRECT("G"&amp;ROW())="","130","130"))</f>
        <v>130</v>
      </c>
      <c r="G28" s="16"/>
      <c r="H28" s="16"/>
      <c r="I28" s="16"/>
      <c r="J28" s="16" t="s">
        <v>6</v>
      </c>
      <c r="K28" s="16"/>
      <c r="L28" s="16">
        <v>2</v>
      </c>
      <c r="M28" s="16" t="s">
        <v>17</v>
      </c>
      <c r="N28" s="17">
        <f ca="1">IF(INDIRECT("J"&amp;ROW())="текущие цены",0/1000,130/1000)</f>
        <v>0.13</v>
      </c>
      <c r="O28" s="7"/>
      <c r="P28" s="7"/>
      <c r="Q28" s="7"/>
      <c r="R28" s="7"/>
      <c r="S28" s="7"/>
    </row>
    <row r="29" spans="1:19" ht="51">
      <c r="A29" s="13">
        <v>10</v>
      </c>
      <c r="B29" s="14" t="s">
        <v>41</v>
      </c>
      <c r="C29" s="27" t="s">
        <v>64</v>
      </c>
      <c r="D29" s="15" t="str">
        <f ca="1" t="shared" si="0"/>
        <v>22 * 22.9 </v>
      </c>
      <c r="E29" s="16">
        <f>IF(22="","0",22)</f>
        <v>22</v>
      </c>
      <c r="F29" s="16" t="str">
        <f ca="1">IF(INDIRECT("J"&amp;ROW())="текущие цены",IF(INDIRECT("G"&amp;ROW())="","0","0"),IF(INDIRECT("G"&amp;ROW())="","22.9","22.9"))</f>
        <v>22.9</v>
      </c>
      <c r="G29" s="16"/>
      <c r="H29" s="16"/>
      <c r="I29" s="16"/>
      <c r="J29" s="16" t="s">
        <v>6</v>
      </c>
      <c r="K29" s="16"/>
      <c r="L29" s="16">
        <v>2</v>
      </c>
      <c r="M29" s="16" t="s">
        <v>18</v>
      </c>
      <c r="N29" s="17">
        <f ca="1">IF(INDIRECT("J"&amp;ROW())="текущие цены",0/1000,503.8/1000)</f>
        <v>0.5038</v>
      </c>
      <c r="O29" s="7"/>
      <c r="P29" s="7"/>
      <c r="Q29" s="7"/>
      <c r="R29" s="7"/>
      <c r="S29" s="7"/>
    </row>
    <row r="30" spans="1:19" ht="51">
      <c r="A30" s="13">
        <v>11</v>
      </c>
      <c r="B30" s="14" t="s">
        <v>42</v>
      </c>
      <c r="C30" s="27" t="s">
        <v>65</v>
      </c>
      <c r="D30" s="15" t="str">
        <f ca="1" t="shared" si="0"/>
        <v>8 * 30.6 </v>
      </c>
      <c r="E30" s="16">
        <f>IF(8="","0",8)</f>
        <v>8</v>
      </c>
      <c r="F30" s="16" t="str">
        <f ca="1">IF(INDIRECT("J"&amp;ROW())="текущие цены",IF(INDIRECT("G"&amp;ROW())="","0","0"),IF(INDIRECT("G"&amp;ROW())="","30.6","30.6"))</f>
        <v>30.6</v>
      </c>
      <c r="G30" s="16"/>
      <c r="H30" s="16"/>
      <c r="I30" s="16"/>
      <c r="J30" s="16" t="s">
        <v>6</v>
      </c>
      <c r="K30" s="16"/>
      <c r="L30" s="16">
        <v>2</v>
      </c>
      <c r="M30" s="16" t="s">
        <v>18</v>
      </c>
      <c r="N30" s="17">
        <f ca="1">IF(INDIRECT("J"&amp;ROW())="текущие цены",0/1000,244.8/1000)</f>
        <v>0.24480000000000002</v>
      </c>
      <c r="O30" s="7"/>
      <c r="P30" s="7"/>
      <c r="Q30" s="7"/>
      <c r="R30" s="7"/>
      <c r="S30" s="7"/>
    </row>
    <row r="31" spans="1:19" ht="114.75">
      <c r="A31" s="13">
        <v>12</v>
      </c>
      <c r="B31" s="14" t="s">
        <v>43</v>
      </c>
      <c r="C31" s="27" t="s">
        <v>66</v>
      </c>
      <c r="D31" s="15" t="str">
        <f ca="1" t="shared" si="0"/>
        <v>(0,14) * 5305.35 </v>
      </c>
      <c r="E31" s="16">
        <f>IF(0.14="","0",0.14)</f>
        <v>0.14</v>
      </c>
      <c r="F31" s="16" t="str">
        <f ca="1">IF(INDIRECT("J"&amp;ROW())="текущие цены",IF(INDIRECT("G"&amp;ROW())="","0","0"),IF(INDIRECT("G"&amp;ROW())="","5305.35","5305.35"))</f>
        <v>5305.35</v>
      </c>
      <c r="G31" s="16"/>
      <c r="H31" s="24">
        <v>0.14</v>
      </c>
      <c r="I31" s="16"/>
      <c r="J31" s="16" t="s">
        <v>6</v>
      </c>
      <c r="K31" s="16"/>
      <c r="L31" s="16">
        <v>2</v>
      </c>
      <c r="M31" s="16" t="s">
        <v>11</v>
      </c>
      <c r="N31" s="17">
        <f ca="1">IF(INDIRECT("J"&amp;ROW())="текущие цены",0/1000,742.75/1000)</f>
        <v>0.74275</v>
      </c>
      <c r="O31" s="7"/>
      <c r="P31" s="7"/>
      <c r="Q31" s="7"/>
      <c r="R31" s="7"/>
      <c r="S31" s="7"/>
    </row>
    <row r="32" spans="1:25" ht="12.75" customHeight="1">
      <c r="A32" s="59" t="s">
        <v>19</v>
      </c>
      <c r="B32" s="60"/>
      <c r="C32" s="60"/>
      <c r="D32" s="60"/>
      <c r="E32" s="60"/>
      <c r="F32" s="60"/>
      <c r="G32" s="60"/>
      <c r="H32" s="60"/>
      <c r="I32" s="60"/>
      <c r="J32" s="60"/>
      <c r="K32" s="60"/>
      <c r="L32" s="60"/>
      <c r="M32" s="60"/>
      <c r="N32" s="61"/>
      <c r="O32" s="7"/>
      <c r="P32" s="7"/>
      <c r="Q32" s="7"/>
      <c r="R32" s="7"/>
      <c r="S32" s="7"/>
      <c r="Y32" s="30"/>
    </row>
    <row r="33" spans="1:19" ht="51">
      <c r="A33" s="13">
        <v>13</v>
      </c>
      <c r="B33" s="14" t="s">
        <v>44</v>
      </c>
      <c r="C33" s="27" t="s">
        <v>67</v>
      </c>
      <c r="D33" s="15" t="str">
        <f aca="true" ca="1" t="shared" si="1" ref="D33:D39">IF(INDIRECT("H"&amp;ROW())="",INDIRECT("E"&amp;ROW()),"("&amp;INDIRECT("H"&amp;ROW())&amp;")")&amp;IF(INDIRECT("F"&amp;ROW())="0"," * 0",IF(INDIRECT("F"&amp;ROW())="",IF(INDIRECT("I"&amp;ROW())=""," "," * "&amp;INDIRECT("I"&amp;ROW()))," * "&amp;INDIRECT("F"&amp;ROW())))&amp;IF(INDIRECT("G"&amp;ROW())=""," "," * "&amp;INDIRECT("G"&amp;ROW()))</f>
        <v>22 * 18.2 </v>
      </c>
      <c r="E33" s="16">
        <f>IF(22="","0",22)</f>
        <v>22</v>
      </c>
      <c r="F33" s="16" t="str">
        <f ca="1">IF(INDIRECT("J"&amp;ROW())="текущие цены",IF(INDIRECT("G"&amp;ROW())="","0","0"),IF(INDIRECT("G"&amp;ROW())="","18.2","18.2"))</f>
        <v>18.2</v>
      </c>
      <c r="G33" s="16"/>
      <c r="H33" s="16"/>
      <c r="I33" s="16"/>
      <c r="J33" s="16" t="s">
        <v>6</v>
      </c>
      <c r="K33" s="16"/>
      <c r="L33" s="16">
        <v>2</v>
      </c>
      <c r="M33" s="16" t="s">
        <v>20</v>
      </c>
      <c r="N33" s="17">
        <f ca="1">IF(INDIRECT("J"&amp;ROW())="текущие цены",0/1000,400.4/1000)</f>
        <v>0.4004</v>
      </c>
      <c r="O33" s="7"/>
      <c r="P33" s="7"/>
      <c r="Q33" s="7"/>
      <c r="R33" s="7"/>
      <c r="S33" s="7"/>
    </row>
    <row r="34" spans="1:19" ht="63.75">
      <c r="A34" s="13">
        <v>14</v>
      </c>
      <c r="B34" s="14" t="s">
        <v>45</v>
      </c>
      <c r="C34" s="27" t="s">
        <v>68</v>
      </c>
      <c r="D34" s="15" t="str">
        <f ca="1" t="shared" si="1"/>
        <v>6 * 38.4 </v>
      </c>
      <c r="E34" s="16">
        <f>IF(6="","0",6)</f>
        <v>6</v>
      </c>
      <c r="F34" s="16" t="str">
        <f ca="1">IF(INDIRECT("J"&amp;ROW())="текущие цены",IF(INDIRECT("G"&amp;ROW())="","0","0"),IF(INDIRECT("G"&amp;ROW())="","38.4","38.4"))</f>
        <v>38.4</v>
      </c>
      <c r="G34" s="16"/>
      <c r="H34" s="16"/>
      <c r="I34" s="16"/>
      <c r="J34" s="16" t="s">
        <v>6</v>
      </c>
      <c r="K34" s="16"/>
      <c r="L34" s="16">
        <v>2</v>
      </c>
      <c r="M34" s="16" t="s">
        <v>20</v>
      </c>
      <c r="N34" s="17">
        <f ca="1">IF(INDIRECT("J"&amp;ROW())="текущие цены",0/1000,230.4/1000)</f>
        <v>0.2304</v>
      </c>
      <c r="O34" s="7"/>
      <c r="P34" s="7"/>
      <c r="Q34" s="7"/>
      <c r="R34" s="7"/>
      <c r="S34" s="7"/>
    </row>
    <row r="35" spans="1:19" ht="89.25">
      <c r="A35" s="13">
        <v>15</v>
      </c>
      <c r="B35" s="14" t="s">
        <v>46</v>
      </c>
      <c r="C35" s="27" t="s">
        <v>69</v>
      </c>
      <c r="D35" s="15" t="str">
        <f ca="1" t="shared" si="1"/>
        <v>22 * 193 </v>
      </c>
      <c r="E35" s="16">
        <f>IF(22="","0",22)</f>
        <v>22</v>
      </c>
      <c r="F35" s="16" t="str">
        <f ca="1">IF(INDIRECT("J"&amp;ROW())="текущие цены",IF(INDIRECT("G"&amp;ROW())="","0","0"),IF(INDIRECT("G"&amp;ROW())="","193","193"))</f>
        <v>193</v>
      </c>
      <c r="G35" s="16"/>
      <c r="H35" s="16"/>
      <c r="I35" s="16"/>
      <c r="J35" s="16" t="s">
        <v>6</v>
      </c>
      <c r="K35" s="16"/>
      <c r="L35" s="16">
        <v>2</v>
      </c>
      <c r="M35" s="16" t="s">
        <v>20</v>
      </c>
      <c r="N35" s="17">
        <f ca="1">IF(INDIRECT("J"&amp;ROW())="текущие цены",0/1000,4246/1000)</f>
        <v>4.246</v>
      </c>
      <c r="O35" s="7"/>
      <c r="P35" s="7"/>
      <c r="Q35" s="7"/>
      <c r="R35" s="7"/>
      <c r="S35" s="7"/>
    </row>
    <row r="36" spans="1:19" ht="51">
      <c r="A36" s="13">
        <v>16</v>
      </c>
      <c r="B36" s="14" t="s">
        <v>47</v>
      </c>
      <c r="C36" s="27" t="s">
        <v>70</v>
      </c>
      <c r="D36" s="15" t="str">
        <f ca="1" t="shared" si="1"/>
        <v>3 * 3.8 </v>
      </c>
      <c r="E36" s="16">
        <f>IF(3="","0",3)</f>
        <v>3</v>
      </c>
      <c r="F36" s="16" t="str">
        <f ca="1">IF(INDIRECT("J"&amp;ROW())="текущие цены",IF(INDIRECT("G"&amp;ROW())="","0","0"),IF(INDIRECT("G"&amp;ROW())="","3.8","3.8"))</f>
        <v>3.8</v>
      </c>
      <c r="G36" s="16"/>
      <c r="H36" s="16"/>
      <c r="I36" s="16"/>
      <c r="J36" s="16" t="s">
        <v>6</v>
      </c>
      <c r="K36" s="16"/>
      <c r="L36" s="16">
        <v>2</v>
      </c>
      <c r="M36" s="16" t="s">
        <v>20</v>
      </c>
      <c r="N36" s="17">
        <f ca="1">IF(INDIRECT("J"&amp;ROW())="текущие цены",0/1000,11.4/1000)</f>
        <v>0.0114</v>
      </c>
      <c r="O36" s="7"/>
      <c r="P36" s="7"/>
      <c r="Q36" s="7"/>
      <c r="R36" s="7"/>
      <c r="S36" s="7"/>
    </row>
    <row r="37" spans="1:19" ht="51">
      <c r="A37" s="13">
        <v>17</v>
      </c>
      <c r="B37" s="14" t="s">
        <v>48</v>
      </c>
      <c r="C37" s="27" t="s">
        <v>71</v>
      </c>
      <c r="D37" s="15" t="str">
        <f ca="1" t="shared" si="1"/>
        <v>3 * 48.8 </v>
      </c>
      <c r="E37" s="16">
        <f>IF(3="","0",3)</f>
        <v>3</v>
      </c>
      <c r="F37" s="16" t="str">
        <f ca="1">IF(INDIRECT("J"&amp;ROW())="текущие цены",IF(INDIRECT("G"&amp;ROW())="","0","0"),IF(INDIRECT("G"&amp;ROW())="","48.8","48.8"))</f>
        <v>48.8</v>
      </c>
      <c r="G37" s="16"/>
      <c r="H37" s="16"/>
      <c r="I37" s="16"/>
      <c r="J37" s="16" t="s">
        <v>6</v>
      </c>
      <c r="K37" s="16"/>
      <c r="L37" s="16">
        <v>2</v>
      </c>
      <c r="M37" s="16" t="s">
        <v>20</v>
      </c>
      <c r="N37" s="17">
        <f ca="1">IF(INDIRECT("J"&amp;ROW())="текущие цены",0/1000,146.4/1000)</f>
        <v>0.1464</v>
      </c>
      <c r="O37" s="7"/>
      <c r="P37" s="7"/>
      <c r="Q37" s="7"/>
      <c r="R37" s="7"/>
      <c r="S37" s="7"/>
    </row>
    <row r="38" spans="1:19" ht="89.25">
      <c r="A38" s="13">
        <v>18</v>
      </c>
      <c r="B38" s="14" t="s">
        <v>49</v>
      </c>
      <c r="C38" s="27" t="s">
        <v>72</v>
      </c>
      <c r="D38" s="15" t="str">
        <f ca="1" t="shared" si="1"/>
        <v>22 * 7.8 </v>
      </c>
      <c r="E38" s="16">
        <f>IF(22="","0",22)</f>
        <v>22</v>
      </c>
      <c r="F38" s="16" t="str">
        <f ca="1">IF(INDIRECT("J"&amp;ROW())="текущие цены",IF(INDIRECT("G"&amp;ROW())="","0","0"),IF(INDIRECT("G"&amp;ROW())="","7.8","7.8"))</f>
        <v>7.8</v>
      </c>
      <c r="G38" s="16"/>
      <c r="H38" s="16"/>
      <c r="I38" s="16"/>
      <c r="J38" s="16" t="s">
        <v>6</v>
      </c>
      <c r="K38" s="16"/>
      <c r="L38" s="16">
        <v>2</v>
      </c>
      <c r="M38" s="16" t="s">
        <v>20</v>
      </c>
      <c r="N38" s="17">
        <f ca="1">IF(INDIRECT("J"&amp;ROW())="текущие цены",0/1000,171.6/1000)</f>
        <v>0.1716</v>
      </c>
      <c r="O38" s="7"/>
      <c r="P38" s="7"/>
      <c r="Q38" s="7"/>
      <c r="R38" s="7"/>
      <c r="S38" s="7"/>
    </row>
    <row r="39" spans="1:19" ht="76.5">
      <c r="A39" s="18">
        <v>19</v>
      </c>
      <c r="B39" s="19" t="s">
        <v>50</v>
      </c>
      <c r="C39" s="28" t="s">
        <v>73</v>
      </c>
      <c r="D39" s="20" t="str">
        <f ca="1" t="shared" si="1"/>
        <v>22 * 76.8 </v>
      </c>
      <c r="E39" s="21">
        <f>IF(22="","0",22)</f>
        <v>22</v>
      </c>
      <c r="F39" s="21" t="str">
        <f ca="1">IF(INDIRECT("J"&amp;ROW())="текущие цены",IF(INDIRECT("G"&amp;ROW())="","0","0"),IF(INDIRECT("G"&amp;ROW())="","76.8","76.8"))</f>
        <v>76.8</v>
      </c>
      <c r="G39" s="21"/>
      <c r="H39" s="21"/>
      <c r="I39" s="21"/>
      <c r="J39" s="21" t="s">
        <v>6</v>
      </c>
      <c r="K39" s="21"/>
      <c r="L39" s="21">
        <v>2</v>
      </c>
      <c r="M39" s="21" t="s">
        <v>20</v>
      </c>
      <c r="N39" s="22">
        <f ca="1">IF(INDIRECT("J"&amp;ROW())="текущие цены",0/1000,1689.6/1000)</f>
        <v>1.6896</v>
      </c>
      <c r="O39" s="7"/>
      <c r="P39" s="7"/>
      <c r="Q39" s="7"/>
      <c r="R39" s="7"/>
      <c r="S39" s="7"/>
    </row>
    <row r="40" spans="1:25" ht="12.75" customHeight="1">
      <c r="A40" s="41" t="s">
        <v>21</v>
      </c>
      <c r="B40" s="42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23">
        <f>582047.1/1000</f>
        <v>582.0471</v>
      </c>
      <c r="O40" s="7"/>
      <c r="P40" s="7"/>
      <c r="Q40" s="7"/>
      <c r="R40" s="7"/>
      <c r="S40" s="7"/>
      <c r="Y40" s="31"/>
    </row>
    <row r="41" spans="1:25" ht="15" customHeight="1">
      <c r="A41" s="38" t="s">
        <v>22</v>
      </c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40"/>
      <c r="O41" s="7"/>
      <c r="P41" s="7"/>
      <c r="Q41" s="7"/>
      <c r="R41" s="7"/>
      <c r="S41" s="7"/>
      <c r="Y41" s="32"/>
    </row>
    <row r="42" spans="1:19" ht="89.25">
      <c r="A42" s="13">
        <v>20</v>
      </c>
      <c r="B42" s="14" t="s">
        <v>52</v>
      </c>
      <c r="C42" s="27" t="s">
        <v>74</v>
      </c>
      <c r="D42" s="15" t="s">
        <v>51</v>
      </c>
      <c r="E42" s="16">
        <f>IF(1="","0",1)</f>
        <v>1</v>
      </c>
      <c r="F42" s="16" t="str">
        <f ca="1">IF(INDIRECT("J"&amp;ROW())="текущие цены",IF(INDIRECT("G"&amp;ROW())="","0","0"),IF(INDIRECT("G"&amp;ROW())="","139040","139040"))</f>
        <v>139040</v>
      </c>
      <c r="G42" s="16"/>
      <c r="H42" s="16"/>
      <c r="I42" s="16"/>
      <c r="J42" s="16" t="s">
        <v>6</v>
      </c>
      <c r="K42" s="16"/>
      <c r="L42" s="16">
        <v>3</v>
      </c>
      <c r="M42" s="16" t="s">
        <v>23</v>
      </c>
      <c r="N42" s="17">
        <v>161.92</v>
      </c>
      <c r="O42" s="7"/>
      <c r="P42" s="7"/>
      <c r="Q42" s="7"/>
      <c r="R42" s="7"/>
      <c r="S42" s="7"/>
    </row>
    <row r="43" spans="1:19" ht="76.5">
      <c r="A43" s="13">
        <v>21</v>
      </c>
      <c r="B43" s="14" t="s">
        <v>54</v>
      </c>
      <c r="C43" s="27" t="s">
        <v>75</v>
      </c>
      <c r="D43" s="15" t="s">
        <v>53</v>
      </c>
      <c r="E43" s="16">
        <f>IF(1="","0",1)</f>
        <v>1</v>
      </c>
      <c r="F43" s="16" t="str">
        <f ca="1">IF(INDIRECT("J"&amp;ROW())="текущие цены",IF(INDIRECT("G"&amp;ROW())="","0","0"),IF(INDIRECT("G"&amp;ROW())="","148040","148040"))</f>
        <v>148040</v>
      </c>
      <c r="G43" s="16"/>
      <c r="H43" s="16"/>
      <c r="I43" s="16"/>
      <c r="J43" s="16" t="s">
        <v>6</v>
      </c>
      <c r="K43" s="16"/>
      <c r="L43" s="16">
        <v>3</v>
      </c>
      <c r="M43" s="16" t="s">
        <v>23</v>
      </c>
      <c r="N43" s="17">
        <v>781.64</v>
      </c>
      <c r="O43" s="7"/>
      <c r="P43" s="7"/>
      <c r="Q43" s="7"/>
      <c r="R43" s="7"/>
      <c r="S43" s="7"/>
    </row>
    <row r="44" spans="1:25" ht="12.75" customHeight="1">
      <c r="A44" s="41" t="s">
        <v>24</v>
      </c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23">
        <f>3698755.2/1000</f>
        <v>3698.7552</v>
      </c>
      <c r="O44" s="7"/>
      <c r="P44" s="7"/>
      <c r="Q44" s="7"/>
      <c r="R44" s="7"/>
      <c r="S44" s="7"/>
      <c r="Y44" s="31"/>
    </row>
    <row r="45" spans="1:25" ht="15" customHeight="1">
      <c r="A45" s="38" t="s">
        <v>25</v>
      </c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40"/>
      <c r="O45" s="7"/>
      <c r="P45" s="7"/>
      <c r="Q45" s="7"/>
      <c r="R45" s="7"/>
      <c r="S45" s="7"/>
      <c r="Y45" s="32"/>
    </row>
    <row r="46" spans="1:19" ht="51">
      <c r="A46" s="18">
        <v>22</v>
      </c>
      <c r="B46" s="19" t="s">
        <v>55</v>
      </c>
      <c r="C46" s="28" t="s">
        <v>26</v>
      </c>
      <c r="D46" s="20" t="str">
        <f ca="1">IF(INDIRECT("H"&amp;ROW())="",INDIRECT("E"&amp;ROW()),"("&amp;INDIRECT("H"&amp;ROW())&amp;")")&amp;IF(INDIRECT("F"&amp;ROW())="0"," * 0",IF(INDIRECT("F"&amp;ROW())="",IF(INDIRECT("I"&amp;ROW())=""," "," * "&amp;INDIRECT("I"&amp;ROW()))," * "&amp;INDIRECT("F"&amp;ROW())))&amp;IF(INDIRECT("G"&amp;ROW())=""," "," * "&amp;INDIRECT("G"&amp;ROW()))</f>
        <v>1 * 134459.47 </v>
      </c>
      <c r="E46" s="21">
        <f>IF(1="","0",1)</f>
        <v>1</v>
      </c>
      <c r="F46" s="21" t="str">
        <f ca="1">IF(INDIRECT("J"&amp;ROW())="текущие цены",IF(INDIRECT("G"&amp;ROW())="","0","0"),IF(INDIRECT("G"&amp;ROW())="","134459.47","134459.47"))</f>
        <v>134459.47</v>
      </c>
      <c r="G46" s="21"/>
      <c r="H46" s="21"/>
      <c r="I46" s="21"/>
      <c r="J46" s="21" t="s">
        <v>6</v>
      </c>
      <c r="K46" s="21"/>
      <c r="L46" s="21">
        <v>4</v>
      </c>
      <c r="M46" s="21" t="s">
        <v>27</v>
      </c>
      <c r="N46" s="22">
        <f ca="1">IF(INDIRECT("J"&amp;ROW())="текущие цены",0/1000,134459.47/1000)</f>
        <v>134.45947</v>
      </c>
      <c r="O46" s="7"/>
      <c r="P46" s="7"/>
      <c r="Q46" s="7"/>
      <c r="R46" s="7"/>
      <c r="S46" s="7"/>
    </row>
    <row r="47" spans="1:25" ht="12.75" customHeight="1">
      <c r="A47" s="41" t="s">
        <v>28</v>
      </c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23">
        <f>527081.12/1000</f>
        <v>527.0811199999999</v>
      </c>
      <c r="O47" s="7"/>
      <c r="P47" s="7"/>
      <c r="Q47" s="7"/>
      <c r="R47" s="7"/>
      <c r="S47" s="7"/>
      <c r="Y47" s="31"/>
    </row>
    <row r="48" spans="1:25" ht="12.75" customHeight="1">
      <c r="A48" s="54" t="s">
        <v>79</v>
      </c>
      <c r="B48" s="55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25">
        <f>1194029.72/1000</f>
        <v>1194.02972</v>
      </c>
      <c r="O48" s="7"/>
      <c r="P48" s="7"/>
      <c r="Q48" s="7"/>
      <c r="R48" s="7"/>
      <c r="S48" s="7"/>
      <c r="Y48" s="30"/>
    </row>
    <row r="49" spans="1:25" ht="12.75" customHeight="1" outlineLevel="1">
      <c r="A49" s="56" t="s">
        <v>29</v>
      </c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26"/>
      <c r="O49" s="7"/>
      <c r="P49" s="7"/>
      <c r="Q49" s="7"/>
      <c r="R49" s="7"/>
      <c r="S49" s="7"/>
      <c r="Y49" s="31"/>
    </row>
    <row r="50" spans="1:25" ht="12.75" outlineLevel="1">
      <c r="A50" s="54" t="s">
        <v>76</v>
      </c>
      <c r="B50" s="55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25">
        <f>404517.02/1000</f>
        <v>404.51702</v>
      </c>
      <c r="O50" s="7"/>
      <c r="P50" s="7"/>
      <c r="Q50" s="7"/>
      <c r="R50" s="7"/>
      <c r="S50" s="7"/>
      <c r="Y50" s="30"/>
    </row>
    <row r="51" spans="1:25" ht="12.75" outlineLevel="1">
      <c r="A51" s="54" t="s">
        <v>77</v>
      </c>
      <c r="B51" s="55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25">
        <f>582047.1/1000</f>
        <v>582.0471</v>
      </c>
      <c r="O51" s="7"/>
      <c r="P51" s="7"/>
      <c r="Q51" s="7"/>
      <c r="R51" s="7"/>
      <c r="S51" s="7"/>
      <c r="Y51" s="30"/>
    </row>
    <row r="52" spans="1:25" ht="12.75" outlineLevel="1">
      <c r="A52" s="54" t="s">
        <v>78</v>
      </c>
      <c r="B52" s="55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25">
        <f>4225836.32/1000</f>
        <v>4225.83632</v>
      </c>
      <c r="O52" s="7"/>
      <c r="P52" s="7"/>
      <c r="Q52" s="7"/>
      <c r="R52" s="7"/>
      <c r="S52" s="7"/>
      <c r="Y52" s="30"/>
    </row>
    <row r="53" spans="1:25" ht="12.75" customHeight="1" outlineLevel="1">
      <c r="A53" s="54" t="s">
        <v>30</v>
      </c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25">
        <f>938232.08/1000</f>
        <v>938.23208</v>
      </c>
      <c r="O53" s="7"/>
      <c r="P53" s="7"/>
      <c r="Q53" s="7"/>
      <c r="R53" s="7"/>
      <c r="S53" s="7"/>
      <c r="Y53" s="30"/>
    </row>
    <row r="54" spans="1:25" ht="12.75" customHeight="1">
      <c r="A54" s="56" t="s">
        <v>31</v>
      </c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33">
        <f>6150632.52/1000</f>
        <v>6150.632519999999</v>
      </c>
      <c r="O54" s="7"/>
      <c r="P54" s="7"/>
      <c r="Q54" s="7"/>
      <c r="R54" s="7"/>
      <c r="S54" s="7"/>
      <c r="Y54" s="31"/>
    </row>
    <row r="55" spans="1:19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8"/>
      <c r="P55" s="8"/>
      <c r="Q55" s="8"/>
      <c r="R55" s="8"/>
      <c r="S55" s="8"/>
    </row>
    <row r="56" spans="1:14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</row>
    <row r="57" spans="2:14" ht="12.75">
      <c r="B57" s="2"/>
      <c r="C57" s="9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</row>
    <row r="58" spans="1:17" s="35" customFormat="1" ht="15">
      <c r="A58" s="58" t="s">
        <v>80</v>
      </c>
      <c r="B58" s="53"/>
      <c r="C58" s="53"/>
      <c r="D58" s="53"/>
      <c r="E58" s="53"/>
      <c r="F58" s="53"/>
      <c r="G58" s="53"/>
      <c r="H58" s="53"/>
      <c r="I58" s="53"/>
      <c r="J58" s="53"/>
      <c r="K58" s="53"/>
      <c r="L58" s="53"/>
      <c r="M58" s="53"/>
      <c r="N58" s="34"/>
      <c r="O58" s="34"/>
      <c r="P58" s="34"/>
      <c r="Q58" s="34"/>
    </row>
    <row r="59" spans="1:17" s="35" customFormat="1" ht="15">
      <c r="A59" s="52" t="s">
        <v>81</v>
      </c>
      <c r="B59" s="53"/>
      <c r="C59" s="53"/>
      <c r="D59" s="53"/>
      <c r="E59" s="53"/>
      <c r="F59" s="53"/>
      <c r="G59" s="53"/>
      <c r="H59" s="53"/>
      <c r="I59" s="53"/>
      <c r="J59" s="53"/>
      <c r="K59" s="53"/>
      <c r="L59" s="53"/>
      <c r="M59" s="53"/>
      <c r="N59" s="34"/>
      <c r="O59" s="34"/>
      <c r="P59" s="34"/>
      <c r="Q59" s="34"/>
    </row>
    <row r="60" spans="2:14" ht="12.75">
      <c r="B60" s="2"/>
      <c r="C60" s="9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</row>
    <row r="61" ht="12.75"/>
    <row r="62" spans="1:14" ht="12.75">
      <c r="A62" s="51"/>
      <c r="B62" s="51"/>
      <c r="C62" s="51"/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1"/>
    </row>
    <row r="66" ht="12.75"/>
    <row r="67" ht="12.75"/>
    <row r="68" ht="12.75"/>
    <row r="69" ht="12.75"/>
  </sheetData>
  <sheetProtection/>
  <mergeCells count="28">
    <mergeCell ref="A23:N23"/>
    <mergeCell ref="A24:N24"/>
    <mergeCell ref="A32:N32"/>
    <mergeCell ref="A40:M40"/>
    <mergeCell ref="A41:N41"/>
    <mergeCell ref="A44:M44"/>
    <mergeCell ref="A62:N62"/>
    <mergeCell ref="A59:M59"/>
    <mergeCell ref="A52:M52"/>
    <mergeCell ref="A53:M53"/>
    <mergeCell ref="A54:M54"/>
    <mergeCell ref="A58:M58"/>
    <mergeCell ref="A45:N45"/>
    <mergeCell ref="A47:M47"/>
    <mergeCell ref="A48:M48"/>
    <mergeCell ref="A49:M49"/>
    <mergeCell ref="A50:M50"/>
    <mergeCell ref="A51:M51"/>
    <mergeCell ref="A16:N16"/>
    <mergeCell ref="A22:M22"/>
    <mergeCell ref="A1:N1"/>
    <mergeCell ref="A2:N2"/>
    <mergeCell ref="A4:N4"/>
    <mergeCell ref="A3:N3"/>
    <mergeCell ref="A5:N5"/>
    <mergeCell ref="A8:N8"/>
    <mergeCell ref="A9:N9"/>
    <mergeCell ref="A12:N12"/>
  </mergeCells>
  <printOptions/>
  <pageMargins left="0.7874015748031497" right="0.3937007874015748" top="0.3937007874015748" bottom="0.3937007874015748" header="0.2362204724409449" footer="0.2362204724409449"/>
  <pageSetup fitToHeight="30000" fitToWidth="1" horizontalDpi="600" verticalDpi="600" orientation="portrait" paperSize="9" scale="94" r:id="rId4"/>
  <headerFooter alignWithMargins="0">
    <oddHeader>&amp;LГРАНД-Смета</oddHeader>
    <oddFooter>&amp;R&amp;P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2:A12"/>
  <sheetViews>
    <sheetView zoomScalePageLayoutView="0" workbookViewId="0" topLeftCell="A1">
      <selection activeCell="A12" sqref="A12"/>
    </sheetView>
  </sheetViews>
  <sheetFormatPr defaultColWidth="9.00390625" defaultRowHeight="12.75"/>
  <sheetData>
    <row r="12" ht="12.75">
      <c r="A12">
        <f>MAX('Мои данные'!L:L)</f>
        <v>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YuKazaeva</dc:creator>
  <cp:keywords/>
  <dc:description>17.05.2010</dc:description>
  <cp:lastModifiedBy>m.faleyeva</cp:lastModifiedBy>
  <cp:lastPrinted>2016-08-25T07:45:12Z</cp:lastPrinted>
  <dcterms:created xsi:type="dcterms:W3CDTF">2007-02-21T08:42:24Z</dcterms:created>
  <dcterms:modified xsi:type="dcterms:W3CDTF">2016-08-25T14:17:13Z</dcterms:modified>
  <cp:category/>
  <cp:version/>
  <cp:contentType/>
  <cp:contentStatus/>
</cp:coreProperties>
</file>